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pivotTables/pivotTable3.xml" ContentType="application/vnd.openxmlformats-officedocument.spreadsheetml.pivotTable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16815" windowHeight="7755" tabRatio="931" firstSheet="6" activeTab="6"/>
  </bookViews>
  <sheets>
    <sheet name="1A. ENERO" sheetId="1" state="hidden" r:id="rId1"/>
    <sheet name="2A. ENERO " sheetId="2" state="hidden" r:id="rId2"/>
    <sheet name="1A. FEBRERO" sheetId="3" state="hidden" r:id="rId3"/>
    <sheet name="2A.FEB-RES" sheetId="5" state="hidden" r:id="rId4"/>
    <sheet name="2A. FEB-DEDUCCIONES" sheetId="7" state="hidden" r:id="rId5"/>
    <sheet name="2A. FEBRERO" sheetId="4" state="hidden" r:id="rId6"/>
    <sheet name="MARZO HSXTRAS" sheetId="11" r:id="rId7"/>
    <sheet name="MARZO" sheetId="8" state="hidden" r:id="rId8"/>
    <sheet name="1RA MARZO" sheetId="9" state="hidden" r:id="rId9"/>
    <sheet name="1RA MARZ DEDUC" sheetId="10" state="hidden" r:id="rId10"/>
  </sheets>
  <definedNames>
    <definedName name="_xlnm._FilterDatabase" localSheetId="0" hidden="1">'1A. ENERO'!$A$4:$Q$60</definedName>
    <definedName name="_xlnm._FilterDatabase" localSheetId="2" hidden="1">'1A. FEBRERO'!$A$5:$Q$84</definedName>
    <definedName name="_xlnm._FilterDatabase" localSheetId="1" hidden="1">'2A. ENERO '!$A$4:$Q$59</definedName>
    <definedName name="_xlnm._FilterDatabase" localSheetId="5" hidden="1">'2A. FEBRERO'!$A$5:$Q$81</definedName>
    <definedName name="_xlnm._FilterDatabase" localSheetId="7" hidden="1">MARZO!$A$5:$T$89</definedName>
    <definedName name="_xlnm._FilterDatabase" localSheetId="6" hidden="1">'MARZO HSXTRAS'!$A$5:$T$89</definedName>
    <definedName name="_xlnm.Print_Area" localSheetId="8">'1RA MARZO'!$A$1:$O$36</definedName>
    <definedName name="_xlnm.Print_Area" localSheetId="4">'2A. FEB-DEDUCCIONES'!$A$1:$H$30</definedName>
    <definedName name="_xlnm.Print_Area" localSheetId="5">'2A. FEBRERO'!$A$1:$Q$85</definedName>
    <definedName name="_xlnm.Print_Area" localSheetId="3">'2A.FEB-RES'!$A$1:$G$28</definedName>
    <definedName name="_xlnm.Print_Area" localSheetId="7">MARZO!$A$1:$T$85</definedName>
    <definedName name="_xlnm.Print_Area" localSheetId="6">'MARZO HSXTRAS'!$A$1:$T$85</definedName>
  </definedNames>
  <calcPr calcId="152511"/>
  <pivotCaches>
    <pivotCache cacheId="9" r:id="rId11"/>
    <pivotCache cacheId="10" r:id="rId12"/>
    <pivotCache cacheId="11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1" l="1"/>
  <c r="G36" i="11" s="1"/>
  <c r="R36" i="11"/>
  <c r="AR47" i="11"/>
  <c r="AS47" i="11"/>
  <c r="AQ84" i="11"/>
  <c r="AQ83" i="11"/>
  <c r="AQ82" i="11"/>
  <c r="AQ81" i="11"/>
  <c r="AQ80" i="11"/>
  <c r="AQ79" i="11"/>
  <c r="AQ78" i="11"/>
  <c r="AQ77" i="11"/>
  <c r="AS77" i="11" s="1"/>
  <c r="AQ76" i="11"/>
  <c r="AQ75" i="11"/>
  <c r="AQ74" i="11"/>
  <c r="AQ73" i="11"/>
  <c r="AS73" i="11" s="1"/>
  <c r="AQ72" i="11"/>
  <c r="AQ71" i="11"/>
  <c r="AQ70" i="11"/>
  <c r="AQ69" i="11"/>
  <c r="AQ68" i="11"/>
  <c r="AQ67" i="11"/>
  <c r="AQ66" i="11"/>
  <c r="AQ65" i="11"/>
  <c r="AQ64" i="11"/>
  <c r="AQ63" i="11"/>
  <c r="AQ62" i="11"/>
  <c r="AQ61" i="11"/>
  <c r="AQ60" i="11"/>
  <c r="AQ59" i="11"/>
  <c r="AQ58" i="11"/>
  <c r="AQ57" i="11"/>
  <c r="AQ56" i="11"/>
  <c r="AQ55" i="11"/>
  <c r="AQ53" i="11"/>
  <c r="AQ52" i="11"/>
  <c r="AQ51" i="11"/>
  <c r="AQ50" i="11"/>
  <c r="AQ49" i="11"/>
  <c r="AQ48" i="11"/>
  <c r="AQ47" i="11"/>
  <c r="AQ46" i="11"/>
  <c r="AQ45" i="11"/>
  <c r="AQ44" i="11"/>
  <c r="AQ43" i="11"/>
  <c r="AQ42" i="11"/>
  <c r="AQ41" i="11"/>
  <c r="AS41" i="11" s="1"/>
  <c r="AQ40" i="11"/>
  <c r="AQ39" i="11"/>
  <c r="AQ38" i="11"/>
  <c r="AQ37" i="11"/>
  <c r="AS37" i="11" s="1"/>
  <c r="AQ36" i="11"/>
  <c r="AQ35" i="11"/>
  <c r="AQ34" i="11"/>
  <c r="AQ33" i="11"/>
  <c r="AQ32" i="11"/>
  <c r="AQ31" i="11"/>
  <c r="AQ30" i="11"/>
  <c r="AQ29" i="11"/>
  <c r="AS29" i="11" s="1"/>
  <c r="AQ28" i="11"/>
  <c r="AQ27" i="11"/>
  <c r="AS27" i="11" s="1"/>
  <c r="AQ26" i="11"/>
  <c r="AQ25" i="11"/>
  <c r="AS23" i="11"/>
  <c r="AQ22" i="11"/>
  <c r="AS22" i="11" s="1"/>
  <c r="AR22" i="11" s="1"/>
  <c r="AT22" i="11" s="1"/>
  <c r="AQ21" i="11"/>
  <c r="AS21" i="11" s="1"/>
  <c r="AR21" i="11" s="1"/>
  <c r="AQ20" i="11"/>
  <c r="AQ19" i="11"/>
  <c r="AS19" i="11" s="1"/>
  <c r="AR19" i="11" s="1"/>
  <c r="AQ18" i="11"/>
  <c r="AQ17" i="11"/>
  <c r="AS17" i="11" s="1"/>
  <c r="AQ15" i="11"/>
  <c r="AQ14" i="11"/>
  <c r="AQ12" i="11"/>
  <c r="AQ11" i="11"/>
  <c r="AQ10" i="11"/>
  <c r="AQ9" i="11"/>
  <c r="AQ8" i="11"/>
  <c r="AQ7" i="11"/>
  <c r="AS7" i="11"/>
  <c r="AR7" i="11" s="1"/>
  <c r="AT7" i="11" s="1"/>
  <c r="AR84" i="11"/>
  <c r="AT84" i="11" s="1"/>
  <c r="AR80" i="11"/>
  <c r="AR78" i="11"/>
  <c r="AR76" i="11"/>
  <c r="AR74" i="11"/>
  <c r="AR70" i="11"/>
  <c r="AR68" i="11"/>
  <c r="AR66" i="11"/>
  <c r="AT66" i="11" s="1"/>
  <c r="AR64" i="11"/>
  <c r="AR62" i="11"/>
  <c r="AR60" i="11"/>
  <c r="AR52" i="11"/>
  <c r="AR50" i="11"/>
  <c r="AR48" i="11"/>
  <c r="AR34" i="11"/>
  <c r="AT34" i="11" s="1"/>
  <c r="AR28" i="11"/>
  <c r="AR26" i="11"/>
  <c r="AR17" i="11"/>
  <c r="AT17" i="11" s="1"/>
  <c r="AS84" i="11"/>
  <c r="AS83" i="11"/>
  <c r="AS82" i="11"/>
  <c r="AR82" i="11" s="1"/>
  <c r="AT82" i="11" s="1"/>
  <c r="AS81" i="11"/>
  <c r="AS80" i="11"/>
  <c r="AS79" i="11"/>
  <c r="AS78" i="11"/>
  <c r="AS76" i="11"/>
  <c r="AS75" i="11"/>
  <c r="AS74" i="11"/>
  <c r="AS72" i="11"/>
  <c r="AR72" i="11" s="1"/>
  <c r="AT72" i="11" s="1"/>
  <c r="AS71" i="11"/>
  <c r="AS70" i="11"/>
  <c r="AS69" i="11"/>
  <c r="AS68" i="11"/>
  <c r="AS67" i="11"/>
  <c r="AS66" i="11"/>
  <c r="AS65" i="11"/>
  <c r="AS64" i="11"/>
  <c r="AS63" i="11"/>
  <c r="AS62" i="11"/>
  <c r="AS61" i="11"/>
  <c r="AS60" i="11"/>
  <c r="AS59" i="11"/>
  <c r="AS58" i="11"/>
  <c r="AR58" i="11" s="1"/>
  <c r="AT58" i="11" s="1"/>
  <c r="AS57" i="11"/>
  <c r="AS56" i="11"/>
  <c r="AR56" i="11" s="1"/>
  <c r="AT56" i="11" s="1"/>
  <c r="AS55" i="11"/>
  <c r="AT54" i="11"/>
  <c r="AS52" i="11"/>
  <c r="AS51" i="11"/>
  <c r="AS50" i="11"/>
  <c r="AS49" i="11"/>
  <c r="AS48" i="11"/>
  <c r="AS46" i="11"/>
  <c r="AT46" i="11" s="1"/>
  <c r="AS45" i="11"/>
  <c r="AS44" i="11"/>
  <c r="AR44" i="11" s="1"/>
  <c r="AT44" i="11" s="1"/>
  <c r="AS43" i="11"/>
  <c r="AS42" i="11"/>
  <c r="AR42" i="11" s="1"/>
  <c r="AT42" i="11" s="1"/>
  <c r="AS40" i="11"/>
  <c r="AR40" i="11" s="1"/>
  <c r="AT40" i="11" s="1"/>
  <c r="AS39" i="11"/>
  <c r="AS38" i="11"/>
  <c r="AR38" i="11" s="1"/>
  <c r="AT38" i="11" s="1"/>
  <c r="AT36" i="11"/>
  <c r="AS35" i="11"/>
  <c r="AS34" i="11"/>
  <c r="AS33" i="11"/>
  <c r="AS32" i="11"/>
  <c r="AR32" i="11" s="1"/>
  <c r="AT32" i="11" s="1"/>
  <c r="AS31" i="11"/>
  <c r="AS30" i="11"/>
  <c r="AT30" i="11" s="1"/>
  <c r="AS28" i="11"/>
  <c r="AS26" i="11"/>
  <c r="AS25" i="11"/>
  <c r="AS20" i="11"/>
  <c r="AR20" i="11" s="1"/>
  <c r="AT20" i="11" s="1"/>
  <c r="AS18" i="11"/>
  <c r="AR18" i="11" s="1"/>
  <c r="AT18" i="11" s="1"/>
  <c r="AS16" i="11"/>
  <c r="AT16" i="11" s="1"/>
  <c r="AS14" i="11"/>
  <c r="AR14" i="11" s="1"/>
  <c r="AT14" i="11" s="1"/>
  <c r="AS12" i="11"/>
  <c r="AR12" i="11" s="1"/>
  <c r="AT12" i="11" s="1"/>
  <c r="AS10" i="11"/>
  <c r="AR10" i="11" s="1"/>
  <c r="AT10" i="11" s="1"/>
  <c r="AS8" i="11"/>
  <c r="AR8" i="11" s="1"/>
  <c r="AT8" i="11" s="1"/>
  <c r="AT80" i="11"/>
  <c r="AT78" i="11"/>
  <c r="AT76" i="11"/>
  <c r="AT74" i="11"/>
  <c r="AT70" i="11"/>
  <c r="AT68" i="11"/>
  <c r="AT64" i="11"/>
  <c r="AT62" i="11"/>
  <c r="AT60" i="11"/>
  <c r="AT52" i="11"/>
  <c r="AT50" i="11"/>
  <c r="AT48" i="11"/>
  <c r="AT28" i="11"/>
  <c r="AT26" i="11"/>
  <c r="AT23" i="11"/>
  <c r="AT21" i="11"/>
  <c r="AT19" i="11"/>
  <c r="AR25" i="11" l="1"/>
  <c r="AT25" i="11" s="1"/>
  <c r="AR27" i="11"/>
  <c r="AT27" i="11" s="1"/>
  <c r="AR29" i="11"/>
  <c r="AT29" i="11" s="1"/>
  <c r="AR31" i="11"/>
  <c r="AT31" i="11" s="1"/>
  <c r="AR33" i="11"/>
  <c r="AT33" i="11" s="1"/>
  <c r="AR35" i="11"/>
  <c r="AT35" i="11" s="1"/>
  <c r="AR37" i="11"/>
  <c r="AT37" i="11" s="1"/>
  <c r="AR39" i="11"/>
  <c r="AT39" i="11" s="1"/>
  <c r="AR41" i="11"/>
  <c r="AT41" i="11" s="1"/>
  <c r="AR43" i="11"/>
  <c r="AT43" i="11" s="1"/>
  <c r="AR45" i="11"/>
  <c r="AT45" i="11" s="1"/>
  <c r="AT47" i="11"/>
  <c r="AR49" i="11"/>
  <c r="AT49" i="11" s="1"/>
  <c r="AR51" i="11"/>
  <c r="AT51" i="11" s="1"/>
  <c r="AT53" i="11"/>
  <c r="AR55" i="11"/>
  <c r="AT55" i="11" s="1"/>
  <c r="AR57" i="11"/>
  <c r="AT57" i="11" s="1"/>
  <c r="AR59" i="11"/>
  <c r="AT59" i="11" s="1"/>
  <c r="AR61" i="11"/>
  <c r="AT61" i="11" s="1"/>
  <c r="AR63" i="11"/>
  <c r="AT63" i="11" s="1"/>
  <c r="AR65" i="11"/>
  <c r="AT65" i="11" s="1"/>
  <c r="AR67" i="11"/>
  <c r="AT67" i="11" s="1"/>
  <c r="AR69" i="11"/>
  <c r="AT69" i="11" s="1"/>
  <c r="AR71" i="11"/>
  <c r="AT71" i="11" s="1"/>
  <c r="AR73" i="11"/>
  <c r="AT73" i="11" s="1"/>
  <c r="AR75" i="11"/>
  <c r="AT75" i="11" s="1"/>
  <c r="AR77" i="11"/>
  <c r="AT77" i="11" s="1"/>
  <c r="AR79" i="11"/>
  <c r="AT79" i="11" s="1"/>
  <c r="AR81" i="11"/>
  <c r="AT81" i="11" s="1"/>
  <c r="AR83" i="11"/>
  <c r="AT83" i="11" s="1"/>
  <c r="AS9" i="11"/>
  <c r="AR9" i="11" s="1"/>
  <c r="AT9" i="11" s="1"/>
  <c r="AS11" i="11"/>
  <c r="AR11" i="11" s="1"/>
  <c r="AT11" i="11" s="1"/>
  <c r="AT13" i="11"/>
  <c r="AS15" i="11"/>
  <c r="AR15" i="11" s="1"/>
  <c r="AT15" i="11" s="1"/>
  <c r="AS24" i="11"/>
  <c r="AT24" i="11" s="1"/>
  <c r="V89" i="11"/>
  <c r="S85" i="11"/>
  <c r="Q85" i="11"/>
  <c r="P85" i="11"/>
  <c r="O85" i="11"/>
  <c r="V84" i="11"/>
  <c r="H84" i="11"/>
  <c r="G84" i="11"/>
  <c r="T84" i="11" s="1"/>
  <c r="R84" i="11" s="1"/>
  <c r="T83" i="11"/>
  <c r="R83" i="11" s="1"/>
  <c r="H83" i="11"/>
  <c r="G83" i="11" s="1"/>
  <c r="V83" i="11" s="1"/>
  <c r="V82" i="11"/>
  <c r="H82" i="11"/>
  <c r="G82" i="11"/>
  <c r="R82" i="11" s="1"/>
  <c r="T81" i="11"/>
  <c r="R81" i="11" s="1"/>
  <c r="H81" i="11"/>
  <c r="G81" i="11" s="1"/>
  <c r="V81" i="11" s="1"/>
  <c r="V80" i="11"/>
  <c r="H80" i="11"/>
  <c r="G80" i="11"/>
  <c r="T80" i="11" s="1"/>
  <c r="R80" i="11" s="1"/>
  <c r="T79" i="11"/>
  <c r="R79" i="11" s="1"/>
  <c r="H79" i="11"/>
  <c r="G79" i="11" s="1"/>
  <c r="V79" i="11" s="1"/>
  <c r="V78" i="11"/>
  <c r="H78" i="11"/>
  <c r="G78" i="11"/>
  <c r="T78" i="11" s="1"/>
  <c r="R78" i="11" s="1"/>
  <c r="R77" i="11"/>
  <c r="H77" i="11"/>
  <c r="G77" i="11" s="1"/>
  <c r="V77" i="11" s="1"/>
  <c r="V76" i="11"/>
  <c r="H76" i="11"/>
  <c r="G76" i="11"/>
  <c r="T76" i="11" s="1"/>
  <c r="R76" i="11" s="1"/>
  <c r="T75" i="11"/>
  <c r="R75" i="11" s="1"/>
  <c r="H75" i="11"/>
  <c r="G75" i="11" s="1"/>
  <c r="V75" i="11" s="1"/>
  <c r="V74" i="11"/>
  <c r="H74" i="11"/>
  <c r="G74" i="11"/>
  <c r="T74" i="11" s="1"/>
  <c r="R74" i="11" s="1"/>
  <c r="R73" i="11"/>
  <c r="H73" i="11"/>
  <c r="G73" i="11" s="1"/>
  <c r="V73" i="11" s="1"/>
  <c r="R72" i="11"/>
  <c r="H71" i="11"/>
  <c r="G71" i="11"/>
  <c r="T71" i="11" s="1"/>
  <c r="R71" i="11" s="1"/>
  <c r="H70" i="11"/>
  <c r="G70" i="11" s="1"/>
  <c r="V70" i="11" s="1"/>
  <c r="H69" i="11"/>
  <c r="G69" i="11"/>
  <c r="R69" i="11" s="1"/>
  <c r="H68" i="11"/>
  <c r="G68" i="11" s="1"/>
  <c r="V68" i="11" s="1"/>
  <c r="H67" i="11"/>
  <c r="G67" i="11"/>
  <c r="R67" i="11" s="1"/>
  <c r="H66" i="11"/>
  <c r="G66" i="11" s="1"/>
  <c r="V66" i="11" s="1"/>
  <c r="H65" i="11"/>
  <c r="G65" i="11"/>
  <c r="R65" i="11" s="1"/>
  <c r="H64" i="11"/>
  <c r="G64" i="11" s="1"/>
  <c r="V64" i="11" s="1"/>
  <c r="H63" i="11"/>
  <c r="G63" i="11"/>
  <c r="R63" i="11" s="1"/>
  <c r="H62" i="11"/>
  <c r="G62" i="11" s="1"/>
  <c r="V62" i="11" s="1"/>
  <c r="H61" i="11"/>
  <c r="G61" i="11"/>
  <c r="T61" i="11" s="1"/>
  <c r="H60" i="11"/>
  <c r="G60" i="11" s="1"/>
  <c r="V60" i="11" s="1"/>
  <c r="R59" i="11"/>
  <c r="H59" i="11"/>
  <c r="G59" i="11" s="1"/>
  <c r="V59" i="11" s="1"/>
  <c r="V58" i="11"/>
  <c r="H58" i="11"/>
  <c r="G58" i="11"/>
  <c r="R58" i="11" s="1"/>
  <c r="R57" i="11"/>
  <c r="H57" i="11"/>
  <c r="G57" i="11" s="1"/>
  <c r="V57" i="11" s="1"/>
  <c r="V56" i="11"/>
  <c r="H56" i="11"/>
  <c r="G56" i="11"/>
  <c r="R56" i="11" s="1"/>
  <c r="T55" i="11"/>
  <c r="R55" i="11" s="1"/>
  <c r="H55" i="11"/>
  <c r="G55" i="11" s="1"/>
  <c r="V55" i="11" s="1"/>
  <c r="H54" i="11"/>
  <c r="G54" i="11" s="1"/>
  <c r="H53" i="11"/>
  <c r="G53" i="11" s="1"/>
  <c r="R53" i="11" s="1"/>
  <c r="H52" i="11"/>
  <c r="G52" i="11" s="1"/>
  <c r="V52" i="11" s="1"/>
  <c r="H51" i="11"/>
  <c r="G51" i="11"/>
  <c r="T51" i="11" s="1"/>
  <c r="R51" i="11" s="1"/>
  <c r="H50" i="11"/>
  <c r="G50" i="11" s="1"/>
  <c r="V50" i="11" s="1"/>
  <c r="R49" i="11"/>
  <c r="V48" i="11"/>
  <c r="H48" i="11"/>
  <c r="G48" i="11"/>
  <c r="T48" i="11" s="1"/>
  <c r="R48" i="11" s="1"/>
  <c r="H47" i="11"/>
  <c r="G47" i="11" s="1"/>
  <c r="V47" i="11" s="1"/>
  <c r="H46" i="11"/>
  <c r="G46" i="11" s="1"/>
  <c r="T45" i="11"/>
  <c r="R45" i="11" s="1"/>
  <c r="H45" i="11"/>
  <c r="G45" i="11" s="1"/>
  <c r="V45" i="11" s="1"/>
  <c r="V44" i="11"/>
  <c r="H44" i="11"/>
  <c r="G44" i="11"/>
  <c r="R44" i="11" s="1"/>
  <c r="H43" i="11"/>
  <c r="G43" i="11" s="1"/>
  <c r="H42" i="11"/>
  <c r="G42" i="11"/>
  <c r="R42" i="11" s="1"/>
  <c r="H41" i="11"/>
  <c r="G41" i="11" s="1"/>
  <c r="H40" i="11"/>
  <c r="G40" i="11"/>
  <c r="R40" i="11" s="1"/>
  <c r="H39" i="11"/>
  <c r="G39" i="11" s="1"/>
  <c r="H38" i="11"/>
  <c r="G38" i="11"/>
  <c r="N37" i="11"/>
  <c r="N85" i="11" s="1"/>
  <c r="H37" i="11"/>
  <c r="G37" i="11"/>
  <c r="V37" i="11" s="1"/>
  <c r="H35" i="11"/>
  <c r="G35" i="11"/>
  <c r="T35" i="11" s="1"/>
  <c r="R35" i="11" s="1"/>
  <c r="H34" i="11"/>
  <c r="G34" i="11" s="1"/>
  <c r="H33" i="11"/>
  <c r="G33" i="11"/>
  <c r="R33" i="11" s="1"/>
  <c r="H32" i="11"/>
  <c r="G32" i="11" s="1"/>
  <c r="H31" i="11"/>
  <c r="G31" i="11"/>
  <c r="T31" i="11" s="1"/>
  <c r="R31" i="11" s="1"/>
  <c r="H29" i="11"/>
  <c r="G29" i="11" s="1"/>
  <c r="H28" i="11"/>
  <c r="G28" i="11"/>
  <c r="R27" i="11"/>
  <c r="H26" i="11"/>
  <c r="G26" i="11" s="1"/>
  <c r="H25" i="11"/>
  <c r="G25" i="11"/>
  <c r="R25" i="11" s="1"/>
  <c r="H24" i="11"/>
  <c r="G24" i="11" s="1"/>
  <c r="V24" i="11" s="1"/>
  <c r="H23" i="11"/>
  <c r="G23" i="11"/>
  <c r="T23" i="11" s="1"/>
  <c r="R23" i="11" s="1"/>
  <c r="H22" i="11"/>
  <c r="G22" i="11" s="1"/>
  <c r="H21" i="11"/>
  <c r="G21" i="11"/>
  <c r="H20" i="11"/>
  <c r="G20" i="11" s="1"/>
  <c r="H19" i="11"/>
  <c r="G19" i="11"/>
  <c r="T19" i="11" s="1"/>
  <c r="R19" i="11" s="1"/>
  <c r="H18" i="11"/>
  <c r="G18" i="11" s="1"/>
  <c r="H17" i="11"/>
  <c r="G17" i="11"/>
  <c r="T17" i="11" s="1"/>
  <c r="R17" i="11" s="1"/>
  <c r="H16" i="11"/>
  <c r="G16" i="11" s="1"/>
  <c r="H15" i="11"/>
  <c r="G15" i="11"/>
  <c r="T15" i="11" s="1"/>
  <c r="R15" i="11" s="1"/>
  <c r="H14" i="11"/>
  <c r="G14" i="11" s="1"/>
  <c r="H13" i="11"/>
  <c r="G13" i="11" s="1"/>
  <c r="T13" i="11" s="1"/>
  <c r="H12" i="11"/>
  <c r="G12" i="11" s="1"/>
  <c r="H11" i="11"/>
  <c r="G11" i="11"/>
  <c r="T11" i="11" s="1"/>
  <c r="R11" i="11" s="1"/>
  <c r="H10" i="11"/>
  <c r="G10" i="11" s="1"/>
  <c r="H9" i="11"/>
  <c r="G9" i="11"/>
  <c r="T9" i="11" s="1"/>
  <c r="R9" i="11" s="1"/>
  <c r="H8" i="11"/>
  <c r="G8" i="11" s="1"/>
  <c r="H7" i="11"/>
  <c r="G7" i="11"/>
  <c r="T7" i="11" s="1"/>
  <c r="T54" i="11" l="1"/>
  <c r="V54" i="11"/>
  <c r="R46" i="11"/>
  <c r="V46" i="11"/>
  <c r="R13" i="11"/>
  <c r="AQ13" i="11"/>
  <c r="G88" i="11"/>
  <c r="V10" i="11"/>
  <c r="T10" i="11"/>
  <c r="R10" i="11" s="1"/>
  <c r="V14" i="11"/>
  <c r="T14" i="11"/>
  <c r="R14" i="11" s="1"/>
  <c r="V18" i="11"/>
  <c r="T18" i="11"/>
  <c r="R18" i="11" s="1"/>
  <c r="V32" i="11"/>
  <c r="R32" i="11"/>
  <c r="R7" i="11"/>
  <c r="V8" i="11"/>
  <c r="T8" i="11"/>
  <c r="R8" i="11" s="1"/>
  <c r="V12" i="11"/>
  <c r="T12" i="11"/>
  <c r="R12" i="11" s="1"/>
  <c r="V16" i="11"/>
  <c r="T16" i="11"/>
  <c r="R16" i="11" s="1"/>
  <c r="V20" i="11"/>
  <c r="T20" i="11"/>
  <c r="R20" i="11" s="1"/>
  <c r="V29" i="11"/>
  <c r="V34" i="11"/>
  <c r="R34" i="11"/>
  <c r="V41" i="11"/>
  <c r="R41" i="11"/>
  <c r="V22" i="11"/>
  <c r="R22" i="11"/>
  <c r="V26" i="11"/>
  <c r="T26" i="11"/>
  <c r="R26" i="11" s="1"/>
  <c r="V36" i="11"/>
  <c r="V39" i="11"/>
  <c r="R39" i="11"/>
  <c r="V43" i="11"/>
  <c r="T43" i="11"/>
  <c r="R43" i="11" s="1"/>
  <c r="V7" i="11"/>
  <c r="V9" i="11"/>
  <c r="V11" i="11"/>
  <c r="V13" i="11"/>
  <c r="V15" i="11"/>
  <c r="V17" i="11"/>
  <c r="V19" i="11"/>
  <c r="V21" i="11"/>
  <c r="V23" i="11"/>
  <c r="V25" i="11"/>
  <c r="V28" i="11"/>
  <c r="V31" i="11"/>
  <c r="V33" i="11"/>
  <c r="V35" i="11"/>
  <c r="R37" i="11"/>
  <c r="V38" i="11"/>
  <c r="V40" i="11"/>
  <c r="V42" i="11"/>
  <c r="T50" i="11"/>
  <c r="R50" i="11" s="1"/>
  <c r="V51" i="11"/>
  <c r="T52" i="11"/>
  <c r="R52" i="11" s="1"/>
  <c r="T60" i="11"/>
  <c r="V61" i="11"/>
  <c r="T62" i="11"/>
  <c r="R62" i="11" s="1"/>
  <c r="V63" i="11"/>
  <c r="T64" i="11"/>
  <c r="R64" i="11" s="1"/>
  <c r="V65" i="11"/>
  <c r="R66" i="11"/>
  <c r="V67" i="11"/>
  <c r="T68" i="11"/>
  <c r="R68" i="11" s="1"/>
  <c r="V69" i="11"/>
  <c r="T70" i="11"/>
  <c r="R70" i="11" s="1"/>
  <c r="V71" i="11"/>
  <c r="T72" i="8"/>
  <c r="R72" i="8" s="1"/>
  <c r="T49" i="8"/>
  <c r="R49" i="8" s="1"/>
  <c r="T30" i="8"/>
  <c r="R30" i="8" s="1"/>
  <c r="T27" i="8"/>
  <c r="R27" i="8" s="1"/>
  <c r="R54" i="11" l="1"/>
  <c r="AQ54" i="11"/>
  <c r="R85" i="11"/>
  <c r="V85" i="11"/>
  <c r="G87" i="11" s="1"/>
  <c r="G89" i="11" s="1"/>
  <c r="T85" i="11"/>
  <c r="H24" i="8"/>
  <c r="G24" i="8" s="1"/>
  <c r="V24" i="8" s="1"/>
  <c r="H23" i="8"/>
  <c r="G23" i="8" s="1"/>
  <c r="T23" i="8" s="1"/>
  <c r="R23" i="8" s="1"/>
  <c r="V23" i="8" l="1"/>
  <c r="H7" i="8"/>
  <c r="G7" i="8" s="1"/>
  <c r="H53" i="8"/>
  <c r="G53" i="8" s="1"/>
  <c r="T53" i="8" s="1"/>
  <c r="R53" i="8" s="1"/>
  <c r="V7" i="8" l="1"/>
  <c r="T7" i="8"/>
  <c r="R7" i="8" s="1"/>
  <c r="F24" i="10"/>
  <c r="F23" i="10"/>
  <c r="E25" i="10"/>
  <c r="D25" i="10"/>
  <c r="C25" i="10"/>
  <c r="B25" i="10"/>
  <c r="C27" i="9"/>
  <c r="C26" i="9"/>
  <c r="C25" i="9"/>
  <c r="B27" i="9"/>
  <c r="B26" i="9"/>
  <c r="B25" i="9"/>
  <c r="P61" i="2"/>
  <c r="B24" i="9"/>
  <c r="Q81" i="4"/>
  <c r="Q80" i="4"/>
  <c r="H33" i="8"/>
  <c r="G33" i="8" s="1"/>
  <c r="E24" i="10"/>
  <c r="D24" i="10"/>
  <c r="C24" i="10"/>
  <c r="B24" i="10"/>
  <c r="E23" i="10"/>
  <c r="D23" i="10"/>
  <c r="C23" i="10"/>
  <c r="B23" i="10"/>
  <c r="B20" i="10"/>
  <c r="B28" i="9"/>
  <c r="V33" i="8" l="1"/>
  <c r="T33" i="8"/>
  <c r="R33" i="8" s="1"/>
  <c r="C28" i="9"/>
  <c r="D28" i="9"/>
  <c r="H66" i="8"/>
  <c r="G66" i="8" s="1"/>
  <c r="V66" i="8" s="1"/>
  <c r="T66" i="8" l="1"/>
  <c r="R66" i="8" s="1"/>
  <c r="H28" i="8"/>
  <c r="G28" i="8" s="1"/>
  <c r="H42" i="8"/>
  <c r="G42" i="8" s="1"/>
  <c r="T42" i="8" s="1"/>
  <c r="N37" i="8"/>
  <c r="K28" i="4"/>
  <c r="V28" i="8" l="1"/>
  <c r="T28" i="8"/>
  <c r="R28" i="8" s="1"/>
  <c r="V42" i="8"/>
  <c r="R42" i="8"/>
  <c r="H22" i="8"/>
  <c r="G22" i="8" s="1"/>
  <c r="H21" i="8"/>
  <c r="G21" i="8" s="1"/>
  <c r="H84" i="8"/>
  <c r="G84" i="8" s="1"/>
  <c r="H83" i="8"/>
  <c r="G83" i="8" s="1"/>
  <c r="V83" i="8" s="1"/>
  <c r="H82" i="8"/>
  <c r="G82" i="8" s="1"/>
  <c r="H81" i="8"/>
  <c r="G81" i="8" s="1"/>
  <c r="V81" i="8" s="1"/>
  <c r="H80" i="8"/>
  <c r="G80" i="8" s="1"/>
  <c r="V80" i="8" s="1"/>
  <c r="H79" i="8"/>
  <c r="G79" i="8" s="1"/>
  <c r="H78" i="8"/>
  <c r="G78" i="8" s="1"/>
  <c r="V78" i="8" s="1"/>
  <c r="H77" i="8"/>
  <c r="G77" i="8" s="1"/>
  <c r="H76" i="8"/>
  <c r="G76" i="8" s="1"/>
  <c r="V76" i="8" s="1"/>
  <c r="H75" i="8"/>
  <c r="G75" i="8" s="1"/>
  <c r="H74" i="8"/>
  <c r="G74" i="8" s="1"/>
  <c r="V74" i="8" s="1"/>
  <c r="H73" i="8"/>
  <c r="G73" i="8" s="1"/>
  <c r="H71" i="8"/>
  <c r="G71" i="8" s="1"/>
  <c r="V71" i="8" s="1"/>
  <c r="H70" i="8"/>
  <c r="G70" i="8" s="1"/>
  <c r="H31" i="8"/>
  <c r="G31" i="8" s="1"/>
  <c r="V31" i="8" s="1"/>
  <c r="H69" i="8"/>
  <c r="G69" i="8" s="1"/>
  <c r="H68" i="8"/>
  <c r="G68" i="8" s="1"/>
  <c r="V68" i="8" s="1"/>
  <c r="H67" i="8"/>
  <c r="G67" i="8" s="1"/>
  <c r="H65" i="8"/>
  <c r="H64" i="8"/>
  <c r="G64" i="8" s="1"/>
  <c r="H61" i="8"/>
  <c r="G61" i="8" s="1"/>
  <c r="V61" i="8" s="1"/>
  <c r="H60" i="8"/>
  <c r="G60" i="8" s="1"/>
  <c r="T60" i="8" s="1"/>
  <c r="H39" i="8"/>
  <c r="G39" i="8" s="1"/>
  <c r="V39" i="8" s="1"/>
  <c r="H59" i="8"/>
  <c r="G59" i="8" s="1"/>
  <c r="V59" i="8" s="1"/>
  <c r="H62" i="8"/>
  <c r="G62" i="8" s="1"/>
  <c r="H58" i="8"/>
  <c r="G58" i="8" s="1"/>
  <c r="V58" i="8" s="1"/>
  <c r="H51" i="8"/>
  <c r="G51" i="8" s="1"/>
  <c r="T51" i="8" s="1"/>
  <c r="H56" i="8"/>
  <c r="G56" i="8" s="1"/>
  <c r="V56" i="8" s="1"/>
  <c r="H55" i="8"/>
  <c r="G55" i="8" s="1"/>
  <c r="H54" i="8"/>
  <c r="G54" i="8" s="1"/>
  <c r="H52" i="8"/>
  <c r="G52" i="8" s="1"/>
  <c r="H57" i="8"/>
  <c r="G57" i="8" s="1"/>
  <c r="H50" i="8"/>
  <c r="G50" i="8" s="1"/>
  <c r="V50" i="8" s="1"/>
  <c r="H48" i="8"/>
  <c r="G48" i="8" s="1"/>
  <c r="H63" i="8"/>
  <c r="G63" i="8" s="1"/>
  <c r="H46" i="8"/>
  <c r="G46" i="8" s="1"/>
  <c r="V46" i="8" s="1"/>
  <c r="H45" i="8"/>
  <c r="G45" i="8" s="1"/>
  <c r="V45" i="8" s="1"/>
  <c r="H44" i="8"/>
  <c r="G44" i="8" s="1"/>
  <c r="H43" i="8"/>
  <c r="G43" i="8" s="1"/>
  <c r="V43" i="8" s="1"/>
  <c r="H41" i="8"/>
  <c r="G41" i="8" s="1"/>
  <c r="V41" i="8" s="1"/>
  <c r="H40" i="8"/>
  <c r="G40" i="8" s="1"/>
  <c r="H38" i="8"/>
  <c r="G38" i="8" s="1"/>
  <c r="V38" i="8" s="1"/>
  <c r="H37" i="8"/>
  <c r="G37" i="8" s="1"/>
  <c r="T37" i="8" s="1"/>
  <c r="H35" i="8"/>
  <c r="G35" i="8" s="1"/>
  <c r="V35" i="8" s="1"/>
  <c r="H47" i="8"/>
  <c r="G47" i="8" s="1"/>
  <c r="H32" i="8"/>
  <c r="G32" i="8" s="1"/>
  <c r="V32" i="8" s="1"/>
  <c r="H29" i="8"/>
  <c r="G29" i="8" s="1"/>
  <c r="H34" i="8"/>
  <c r="G34" i="8" s="1"/>
  <c r="V34" i="8" s="1"/>
  <c r="H36" i="8"/>
  <c r="G36" i="8" s="1"/>
  <c r="H26" i="8"/>
  <c r="G26" i="8" s="1"/>
  <c r="V26" i="8" s="1"/>
  <c r="H25" i="8"/>
  <c r="G25" i="8" s="1"/>
  <c r="H20" i="8"/>
  <c r="G20" i="8" s="1"/>
  <c r="H19" i="8"/>
  <c r="G19" i="8" s="1"/>
  <c r="H18" i="8"/>
  <c r="G18" i="8" s="1"/>
  <c r="V18" i="8" s="1"/>
  <c r="H17" i="8"/>
  <c r="G17" i="8" s="1"/>
  <c r="H16" i="8"/>
  <c r="G16" i="8" s="1"/>
  <c r="H15" i="8"/>
  <c r="G15" i="8" s="1"/>
  <c r="V15" i="8" s="1"/>
  <c r="H14" i="8"/>
  <c r="G14" i="8" s="1"/>
  <c r="H13" i="8"/>
  <c r="G13" i="8" s="1"/>
  <c r="V13" i="8" s="1"/>
  <c r="H12" i="8"/>
  <c r="G12" i="8" s="1"/>
  <c r="H11" i="8"/>
  <c r="H10" i="8"/>
  <c r="G10" i="8" s="1"/>
  <c r="H9" i="8"/>
  <c r="G9" i="8" s="1"/>
  <c r="V9" i="8" s="1"/>
  <c r="V20" i="8"/>
  <c r="H8" i="8"/>
  <c r="V89" i="8"/>
  <c r="S85" i="8"/>
  <c r="Q85" i="8"/>
  <c r="O85" i="8"/>
  <c r="P85" i="8"/>
  <c r="AP59" i="8"/>
  <c r="V52" i="8" l="1"/>
  <c r="T52" i="8"/>
  <c r="V37" i="8"/>
  <c r="G65" i="8"/>
  <c r="T65" i="8" s="1"/>
  <c r="R65" i="8" s="1"/>
  <c r="T19" i="8"/>
  <c r="R19" i="8" s="1"/>
  <c r="V19" i="8"/>
  <c r="T17" i="8"/>
  <c r="R17" i="8" s="1"/>
  <c r="V17" i="8"/>
  <c r="T84" i="8"/>
  <c r="R84" i="8" s="1"/>
  <c r="V84" i="8"/>
  <c r="T25" i="8"/>
  <c r="R25" i="8" s="1"/>
  <c r="V25" i="8"/>
  <c r="T36" i="8"/>
  <c r="R36" i="8" s="1"/>
  <c r="V36" i="8"/>
  <c r="T29" i="8"/>
  <c r="R29" i="8" s="1"/>
  <c r="V29" i="8"/>
  <c r="T47" i="8"/>
  <c r="R47" i="8" s="1"/>
  <c r="V47" i="8"/>
  <c r="T63" i="8"/>
  <c r="R63" i="8" s="1"/>
  <c r="V63" i="8"/>
  <c r="R60" i="8"/>
  <c r="V60" i="8"/>
  <c r="T64" i="8"/>
  <c r="R64" i="8" s="1"/>
  <c r="V64" i="8"/>
  <c r="T67" i="8"/>
  <c r="R67" i="8" s="1"/>
  <c r="V67" i="8"/>
  <c r="T69" i="8"/>
  <c r="R69" i="8" s="1"/>
  <c r="V69" i="8"/>
  <c r="T70" i="8"/>
  <c r="R70" i="8" s="1"/>
  <c r="V70" i="8"/>
  <c r="T73" i="8"/>
  <c r="R73" i="8" s="1"/>
  <c r="V73" i="8"/>
  <c r="T75" i="8"/>
  <c r="R75" i="8" s="1"/>
  <c r="V75" i="8"/>
  <c r="T77" i="8"/>
  <c r="R77" i="8" s="1"/>
  <c r="V77" i="8"/>
  <c r="T79" i="8"/>
  <c r="R79" i="8" s="1"/>
  <c r="V79" i="8"/>
  <c r="T21" i="8"/>
  <c r="R21" i="8" s="1"/>
  <c r="V21" i="8"/>
  <c r="T12" i="8"/>
  <c r="R12" i="8" s="1"/>
  <c r="V12" i="8"/>
  <c r="T10" i="8"/>
  <c r="R10" i="8" s="1"/>
  <c r="V10" i="8"/>
  <c r="T14" i="8"/>
  <c r="R14" i="8" s="1"/>
  <c r="V14" i="8"/>
  <c r="T16" i="8"/>
  <c r="R16" i="8" s="1"/>
  <c r="V16" i="8"/>
  <c r="T82" i="8"/>
  <c r="R82" i="8" s="1"/>
  <c r="V82" i="8"/>
  <c r="T40" i="8"/>
  <c r="R40" i="8" s="1"/>
  <c r="V40" i="8"/>
  <c r="T44" i="8"/>
  <c r="R44" i="8" s="1"/>
  <c r="V44" i="8"/>
  <c r="T48" i="8"/>
  <c r="R48" i="8" s="1"/>
  <c r="V48" i="8"/>
  <c r="T57" i="8"/>
  <c r="R57" i="8" s="1"/>
  <c r="V57" i="8"/>
  <c r="T54" i="8"/>
  <c r="R54" i="8" s="1"/>
  <c r="V54" i="8"/>
  <c r="T55" i="8"/>
  <c r="R55" i="8" s="1"/>
  <c r="V55" i="8"/>
  <c r="R51" i="8"/>
  <c r="V51" i="8"/>
  <c r="T62" i="8"/>
  <c r="R62" i="8" s="1"/>
  <c r="V62" i="8"/>
  <c r="T22" i="8"/>
  <c r="R22" i="8" s="1"/>
  <c r="V22" i="8"/>
  <c r="G11" i="8"/>
  <c r="T50" i="8"/>
  <c r="R50" i="8" s="1"/>
  <c r="T39" i="8"/>
  <c r="R39" i="8" s="1"/>
  <c r="T13" i="8"/>
  <c r="R13" i="8" s="1"/>
  <c r="T15" i="8"/>
  <c r="R15" i="8" s="1"/>
  <c r="R52" i="8"/>
  <c r="T61" i="8"/>
  <c r="R61" i="8" s="1"/>
  <c r="T9" i="8"/>
  <c r="R9" i="8" s="1"/>
  <c r="T18" i="8"/>
  <c r="R18" i="8" s="1"/>
  <c r="T26" i="8"/>
  <c r="R26" i="8" s="1"/>
  <c r="T32" i="8"/>
  <c r="R32" i="8" s="1"/>
  <c r="R37" i="8"/>
  <c r="T38" i="8"/>
  <c r="R38" i="8" s="1"/>
  <c r="T41" i="8"/>
  <c r="R41" i="8" s="1"/>
  <c r="T45" i="8"/>
  <c r="R45" i="8" s="1"/>
  <c r="T20" i="8"/>
  <c r="R20" i="8" s="1"/>
  <c r="T34" i="8"/>
  <c r="R34" i="8" s="1"/>
  <c r="T35" i="8"/>
  <c r="R35" i="8" s="1"/>
  <c r="T43" i="8"/>
  <c r="R43" i="8" s="1"/>
  <c r="T46" i="8"/>
  <c r="R46" i="8" s="1"/>
  <c r="N85" i="8"/>
  <c r="G88" i="8" s="1"/>
  <c r="T56" i="8"/>
  <c r="R56" i="8" s="1"/>
  <c r="T58" i="8"/>
  <c r="R58" i="8" s="1"/>
  <c r="T59" i="8"/>
  <c r="R59" i="8" s="1"/>
  <c r="T68" i="8"/>
  <c r="R68" i="8" s="1"/>
  <c r="T31" i="8"/>
  <c r="R31" i="8" s="1"/>
  <c r="T71" i="8"/>
  <c r="R71" i="8" s="1"/>
  <c r="T74" i="8"/>
  <c r="R74" i="8" s="1"/>
  <c r="T76" i="8"/>
  <c r="R76" i="8" s="1"/>
  <c r="T78" i="8"/>
  <c r="R78" i="8" s="1"/>
  <c r="T80" i="8"/>
  <c r="R80" i="8" s="1"/>
  <c r="T81" i="8"/>
  <c r="R81" i="8" s="1"/>
  <c r="T83" i="8"/>
  <c r="R83" i="8" s="1"/>
  <c r="AL52" i="4"/>
  <c r="V65" i="8" l="1"/>
  <c r="T11" i="8"/>
  <c r="R11" i="8" s="1"/>
  <c r="V11" i="8"/>
  <c r="M73" i="4"/>
  <c r="B20" i="7"/>
  <c r="S81" i="4" l="1"/>
  <c r="N77" i="4"/>
  <c r="M77" i="4"/>
  <c r="L77" i="4"/>
  <c r="K77" i="4"/>
  <c r="G58" i="4"/>
  <c r="F58" i="4" s="1"/>
  <c r="Q58" i="4" s="1"/>
  <c r="O58" i="4" s="1"/>
  <c r="F80" i="4" l="1"/>
  <c r="K34" i="4"/>
  <c r="P80" i="3"/>
  <c r="P77" i="4"/>
  <c r="G32" i="4" l="1"/>
  <c r="F32" i="4" s="1"/>
  <c r="G44" i="4"/>
  <c r="F44" i="4" s="1"/>
  <c r="Q32" i="4" l="1"/>
  <c r="O32" i="4" s="1"/>
  <c r="Q44" i="4"/>
  <c r="O44" i="4" s="1"/>
  <c r="G55" i="4"/>
  <c r="F55" i="4" s="1"/>
  <c r="Q55" i="4" l="1"/>
  <c r="O55" i="4" s="1"/>
  <c r="G47" i="4"/>
  <c r="F47" i="4" s="1"/>
  <c r="G76" i="4" l="1"/>
  <c r="F76" i="4" s="1"/>
  <c r="S76" i="4" s="1"/>
  <c r="G75" i="4"/>
  <c r="F75" i="4" s="1"/>
  <c r="G74" i="4"/>
  <c r="F74" i="4" s="1"/>
  <c r="S74" i="4" s="1"/>
  <c r="G73" i="4"/>
  <c r="F73" i="4" s="1"/>
  <c r="G72" i="4"/>
  <c r="F72" i="4" s="1"/>
  <c r="G71" i="4"/>
  <c r="F71" i="4" s="1"/>
  <c r="G70" i="4"/>
  <c r="F70" i="4" s="1"/>
  <c r="G69" i="4"/>
  <c r="F69" i="4" s="1"/>
  <c r="G68" i="4"/>
  <c r="F68" i="4" s="1"/>
  <c r="S68" i="4" s="1"/>
  <c r="G67" i="4"/>
  <c r="F67" i="4" s="1"/>
  <c r="S67" i="4" s="1"/>
  <c r="G66" i="4"/>
  <c r="F66" i="4" s="1"/>
  <c r="G65" i="4"/>
  <c r="F65" i="4" s="1"/>
  <c r="G64" i="4"/>
  <c r="F64" i="4" s="1"/>
  <c r="G63" i="4"/>
  <c r="F63" i="4" s="1"/>
  <c r="G62" i="4"/>
  <c r="F62" i="4" s="1"/>
  <c r="G61" i="4"/>
  <c r="F61" i="4" s="1"/>
  <c r="G60" i="4"/>
  <c r="F60" i="4" s="1"/>
  <c r="G59" i="4"/>
  <c r="F59" i="4" s="1"/>
  <c r="S59" i="4" s="1"/>
  <c r="G57" i="4"/>
  <c r="F57" i="4" s="1"/>
  <c r="G56" i="4"/>
  <c r="F56" i="4" s="1"/>
  <c r="G54" i="4"/>
  <c r="F54" i="4" s="1"/>
  <c r="G53" i="4"/>
  <c r="F53" i="4" s="1"/>
  <c r="G52" i="4"/>
  <c r="F52" i="4" s="1"/>
  <c r="S52" i="4" s="1"/>
  <c r="G51" i="4"/>
  <c r="F51" i="4" s="1"/>
  <c r="G50" i="4"/>
  <c r="F50" i="4" s="1"/>
  <c r="S50" i="4" s="1"/>
  <c r="G49" i="4"/>
  <c r="F49" i="4" s="1"/>
  <c r="G48" i="4"/>
  <c r="F48" i="4" s="1"/>
  <c r="S48" i="4" s="1"/>
  <c r="G46" i="4"/>
  <c r="F46" i="4" s="1"/>
  <c r="G45" i="4"/>
  <c r="F45" i="4" s="1"/>
  <c r="S45" i="4" s="1"/>
  <c r="G43" i="4"/>
  <c r="F43" i="4" s="1"/>
  <c r="S43" i="4" s="1"/>
  <c r="G42" i="4"/>
  <c r="F42" i="4" s="1"/>
  <c r="S42" i="4" s="1"/>
  <c r="G41" i="4"/>
  <c r="F41" i="4" s="1"/>
  <c r="G40" i="4"/>
  <c r="F40" i="4" s="1"/>
  <c r="S40" i="4" s="1"/>
  <c r="G39" i="4"/>
  <c r="F39" i="4" s="1"/>
  <c r="S39" i="4" s="1"/>
  <c r="G38" i="4"/>
  <c r="F38" i="4" s="1"/>
  <c r="G37" i="4"/>
  <c r="F37" i="4" s="1"/>
  <c r="G36" i="4"/>
  <c r="F36" i="4" s="1"/>
  <c r="S36" i="4" s="1"/>
  <c r="G35" i="4"/>
  <c r="F35" i="4" s="1"/>
  <c r="G34" i="4"/>
  <c r="F34" i="4" s="1"/>
  <c r="S34" i="4" s="1"/>
  <c r="G33" i="4"/>
  <c r="F33" i="4" s="1"/>
  <c r="G31" i="4"/>
  <c r="F31" i="4" s="1"/>
  <c r="S31" i="4" s="1"/>
  <c r="G30" i="4"/>
  <c r="F30" i="4" s="1"/>
  <c r="S30" i="4" s="1"/>
  <c r="G29" i="4"/>
  <c r="F29" i="4" s="1"/>
  <c r="S29" i="4" s="1"/>
  <c r="G28" i="4"/>
  <c r="F28" i="4" s="1"/>
  <c r="G27" i="4"/>
  <c r="F27" i="4" s="1"/>
  <c r="S27" i="4" s="1"/>
  <c r="G26" i="4"/>
  <c r="F26" i="4" s="1"/>
  <c r="S26" i="4" s="1"/>
  <c r="G25" i="4"/>
  <c r="F25" i="4" s="1"/>
  <c r="G24" i="4"/>
  <c r="F24" i="4" s="1"/>
  <c r="G23" i="4"/>
  <c r="F23" i="4" s="1"/>
  <c r="S23" i="4" s="1"/>
  <c r="G22" i="4"/>
  <c r="F22" i="4" s="1"/>
  <c r="G21" i="4"/>
  <c r="F21" i="4" s="1"/>
  <c r="S21" i="4" s="1"/>
  <c r="G20" i="4"/>
  <c r="F20" i="4" s="1"/>
  <c r="G19" i="4"/>
  <c r="F19" i="4" s="1"/>
  <c r="S19" i="4" s="1"/>
  <c r="G18" i="4"/>
  <c r="F18" i="4" s="1"/>
  <c r="S54" i="4" l="1"/>
  <c r="S58" i="4"/>
  <c r="S62" i="4"/>
  <c r="S64" i="4"/>
  <c r="S66" i="4"/>
  <c r="S70" i="4"/>
  <c r="S22" i="4"/>
  <c r="S28" i="4"/>
  <c r="S35" i="4"/>
  <c r="S41" i="4"/>
  <c r="S55" i="4"/>
  <c r="S46" i="4"/>
  <c r="S49" i="4"/>
  <c r="S32" i="4"/>
  <c r="S53" i="4"/>
  <c r="S56" i="4"/>
  <c r="S61" i="4"/>
  <c r="S63" i="4"/>
  <c r="S65" i="4"/>
  <c r="S69" i="4"/>
  <c r="S71" i="4"/>
  <c r="S73" i="4"/>
  <c r="S75" i="4"/>
  <c r="S60" i="4"/>
  <c r="Q18" i="4"/>
  <c r="O18" i="4" s="1"/>
  <c r="S18" i="4"/>
  <c r="G8" i="4"/>
  <c r="G17" i="4"/>
  <c r="F17" i="4" s="1"/>
  <c r="G16" i="4"/>
  <c r="F16" i="4" s="1"/>
  <c r="G15" i="4"/>
  <c r="F15" i="4" s="1"/>
  <c r="S15" i="4" s="1"/>
  <c r="G13" i="4"/>
  <c r="F13" i="4" s="1"/>
  <c r="S13" i="4" s="1"/>
  <c r="G11" i="4"/>
  <c r="G10" i="4"/>
  <c r="G9" i="4"/>
  <c r="S37" i="4" l="1"/>
  <c r="S72" i="4"/>
  <c r="S38" i="4"/>
  <c r="F11" i="4"/>
  <c r="F9" i="4"/>
  <c r="S44" i="4" s="1"/>
  <c r="F10" i="4"/>
  <c r="S51" i="4" s="1"/>
  <c r="F8" i="4"/>
  <c r="Q76" i="4"/>
  <c r="O76" i="4" s="1"/>
  <c r="Q75" i="4"/>
  <c r="O75" i="4" s="1"/>
  <c r="Q74" i="4"/>
  <c r="O74" i="4" s="1"/>
  <c r="Q73" i="4"/>
  <c r="O73" i="4" s="1"/>
  <c r="Q72" i="4"/>
  <c r="O72" i="4" s="1"/>
  <c r="Q71" i="4"/>
  <c r="Q70" i="4"/>
  <c r="O70" i="4" s="1"/>
  <c r="Q69" i="4"/>
  <c r="O69" i="4" s="1"/>
  <c r="Q68" i="4"/>
  <c r="O68" i="4" s="1"/>
  <c r="Q67" i="4"/>
  <c r="O67" i="4" s="1"/>
  <c r="Q66" i="4"/>
  <c r="O66" i="4" s="1"/>
  <c r="Q65" i="4"/>
  <c r="O65" i="4" s="1"/>
  <c r="Q64" i="4"/>
  <c r="O64" i="4" s="1"/>
  <c r="Q63" i="4"/>
  <c r="O63" i="4" s="1"/>
  <c r="Q62" i="4"/>
  <c r="O62" i="4" s="1"/>
  <c r="Q61" i="4"/>
  <c r="O61" i="4" s="1"/>
  <c r="Q60" i="4"/>
  <c r="O60" i="4" s="1"/>
  <c r="Q59" i="4"/>
  <c r="O59" i="4" s="1"/>
  <c r="Q56" i="4"/>
  <c r="O56" i="4" s="1"/>
  <c r="Q54" i="4"/>
  <c r="O54" i="4" s="1"/>
  <c r="Q53" i="4"/>
  <c r="O53" i="4" s="1"/>
  <c r="Q52" i="4"/>
  <c r="Q51" i="4"/>
  <c r="O51" i="4" s="1"/>
  <c r="Q50" i="4"/>
  <c r="O50" i="4" s="1"/>
  <c r="Q49" i="4"/>
  <c r="O49" i="4" s="1"/>
  <c r="Q48" i="4"/>
  <c r="O48" i="4" s="1"/>
  <c r="Q46" i="4"/>
  <c r="O46" i="4" s="1"/>
  <c r="Q45" i="4"/>
  <c r="O45" i="4" s="1"/>
  <c r="Q43" i="4"/>
  <c r="O43" i="4" s="1"/>
  <c r="Q42" i="4"/>
  <c r="O42" i="4" s="1"/>
  <c r="Q41" i="4"/>
  <c r="O41" i="4" s="1"/>
  <c r="Q40" i="4"/>
  <c r="O40" i="4" s="1"/>
  <c r="Q39" i="4"/>
  <c r="O39" i="4" s="1"/>
  <c r="Q38" i="4"/>
  <c r="O38" i="4" s="1"/>
  <c r="Q37" i="4"/>
  <c r="O37" i="4" s="1"/>
  <c r="Q36" i="4"/>
  <c r="O36" i="4" s="1"/>
  <c r="Q35" i="4"/>
  <c r="Q33" i="4"/>
  <c r="O33" i="4" s="1"/>
  <c r="Q31" i="4"/>
  <c r="Q30" i="4"/>
  <c r="O30" i="4" s="1"/>
  <c r="Q29" i="4"/>
  <c r="O29" i="4" s="1"/>
  <c r="Q28" i="4"/>
  <c r="O28" i="4" s="1"/>
  <c r="Q27" i="4"/>
  <c r="Q26" i="4"/>
  <c r="O26" i="4" s="1"/>
  <c r="Q25" i="4"/>
  <c r="O25" i="4" s="1"/>
  <c r="Q24" i="4"/>
  <c r="Q23" i="4"/>
  <c r="O23" i="4" s="1"/>
  <c r="Q22" i="4"/>
  <c r="O22" i="4" s="1"/>
  <c r="Q21" i="4"/>
  <c r="Q20" i="4"/>
  <c r="O20" i="4" s="1"/>
  <c r="Q19" i="4"/>
  <c r="Q16" i="4"/>
  <c r="O16" i="4" s="1"/>
  <c r="H14" i="4"/>
  <c r="F14" i="4"/>
  <c r="S16" i="4" s="1"/>
  <c r="H12" i="4"/>
  <c r="F12" i="4"/>
  <c r="S20" i="4" s="1"/>
  <c r="Q15" i="4"/>
  <c r="O15" i="4" s="1"/>
  <c r="Q17" i="4"/>
  <c r="O17" i="4" s="1"/>
  <c r="H7" i="4"/>
  <c r="F7" i="4"/>
  <c r="S33" i="4" s="1"/>
  <c r="H6" i="4"/>
  <c r="F6" i="4"/>
  <c r="S6" i="4" s="1"/>
  <c r="H79" i="3"/>
  <c r="Q79" i="3"/>
  <c r="O79" i="3" s="1"/>
  <c r="H78" i="3"/>
  <c r="Q78" i="3"/>
  <c r="O78" i="3" s="1"/>
  <c r="H77" i="3"/>
  <c r="Q77" i="3"/>
  <c r="O77" i="3" s="1"/>
  <c r="H76" i="3"/>
  <c r="Q76" i="3"/>
  <c r="O76" i="3" s="1"/>
  <c r="Q75" i="3"/>
  <c r="O75" i="3" s="1"/>
  <c r="H75" i="3"/>
  <c r="Q74" i="3"/>
  <c r="O74" i="3" s="1"/>
  <c r="H74" i="3"/>
  <c r="Q73" i="3"/>
  <c r="O73" i="3" s="1"/>
  <c r="H73" i="3"/>
  <c r="H72" i="3"/>
  <c r="Q72" i="3"/>
  <c r="Q71" i="3"/>
  <c r="H71" i="3"/>
  <c r="H70" i="3"/>
  <c r="F70" i="3"/>
  <c r="Q70" i="3" s="1"/>
  <c r="Q69" i="3"/>
  <c r="H69" i="3"/>
  <c r="Q68" i="3"/>
  <c r="H68" i="3"/>
  <c r="S17" i="4" l="1"/>
  <c r="Q8" i="4"/>
  <c r="O8" i="4" s="1"/>
  <c r="S8" i="4"/>
  <c r="Q9" i="4"/>
  <c r="O9" i="4" s="1"/>
  <c r="S9" i="4"/>
  <c r="Q7" i="4"/>
  <c r="O7" i="4" s="1"/>
  <c r="S7" i="4"/>
  <c r="Q12" i="4"/>
  <c r="S12" i="4"/>
  <c r="Q14" i="4"/>
  <c r="O14" i="4" s="1"/>
  <c r="S14" i="4"/>
  <c r="Q10" i="4"/>
  <c r="O10" i="4" s="1"/>
  <c r="S10" i="4"/>
  <c r="Q11" i="4"/>
  <c r="O11" i="4" s="1"/>
  <c r="S11" i="4"/>
  <c r="R73" i="3"/>
  <c r="R79" i="3"/>
  <c r="Q34" i="4"/>
  <c r="O34" i="4" s="1"/>
  <c r="Q6" i="4"/>
  <c r="O12" i="4"/>
  <c r="O21" i="4"/>
  <c r="O52" i="4"/>
  <c r="O35" i="4"/>
  <c r="O27" i="4"/>
  <c r="O31" i="4"/>
  <c r="O24" i="4"/>
  <c r="O19" i="4"/>
  <c r="O71" i="4"/>
  <c r="O68" i="3"/>
  <c r="O70" i="3"/>
  <c r="O72" i="3"/>
  <c r="O71" i="3"/>
  <c r="O69" i="3"/>
  <c r="F55" i="3"/>
  <c r="Q55" i="3" s="1"/>
  <c r="O55" i="3" s="1"/>
  <c r="H55" i="3"/>
  <c r="O6" i="4" l="1"/>
  <c r="G82" i="3"/>
  <c r="G84" i="3" s="1"/>
  <c r="M19" i="3" l="1"/>
  <c r="M27" i="3"/>
  <c r="M28" i="3"/>
  <c r="F15" i="3" l="1"/>
  <c r="Q15" i="3" s="1"/>
  <c r="O15" i="3" s="1"/>
  <c r="H15" i="3"/>
  <c r="F57" i="3" l="1"/>
  <c r="Q57" i="3" s="1"/>
  <c r="H57" i="3"/>
  <c r="O57" i="3" l="1"/>
  <c r="F16" i="3"/>
  <c r="Q16" i="3" s="1"/>
  <c r="O16" i="3" s="1"/>
  <c r="H16" i="3"/>
  <c r="F14" i="3"/>
  <c r="Q14" i="3" s="1"/>
  <c r="O14" i="3" s="1"/>
  <c r="H14" i="3"/>
  <c r="M37" i="3"/>
  <c r="M58" i="3"/>
  <c r="F38" i="3" l="1"/>
  <c r="Q38" i="3" s="1"/>
  <c r="O38" i="3" s="1"/>
  <c r="H38" i="3"/>
  <c r="F42" i="3" l="1"/>
  <c r="Q42" i="3" s="1"/>
  <c r="O42" i="3" s="1"/>
  <c r="H42" i="3"/>
  <c r="K36" i="3" l="1"/>
  <c r="F65" i="3"/>
  <c r="Q65" i="3" s="1"/>
  <c r="O65" i="3" s="1"/>
  <c r="H65" i="3"/>
  <c r="N80" i="3" l="1"/>
  <c r="M80" i="3"/>
  <c r="L80" i="3"/>
  <c r="H48" i="3"/>
  <c r="F48" i="3"/>
  <c r="Q48" i="3" s="1"/>
  <c r="O48" i="3" s="1"/>
  <c r="H67" i="3"/>
  <c r="F67" i="3"/>
  <c r="Q67" i="3" s="1"/>
  <c r="O67" i="3" s="1"/>
  <c r="H64" i="3"/>
  <c r="F64" i="3"/>
  <c r="Q64" i="3" s="1"/>
  <c r="O64" i="3" s="1"/>
  <c r="H63" i="3"/>
  <c r="F63" i="3"/>
  <c r="Q63" i="3" s="1"/>
  <c r="H62" i="3"/>
  <c r="F62" i="3"/>
  <c r="Q62" i="3" s="1"/>
  <c r="O62" i="3" s="1"/>
  <c r="H61" i="3"/>
  <c r="F61" i="3"/>
  <c r="Q61" i="3" s="1"/>
  <c r="O61" i="3" s="1"/>
  <c r="H39" i="3"/>
  <c r="F39" i="3"/>
  <c r="Q39" i="3" s="1"/>
  <c r="O39" i="3" s="1"/>
  <c r="H59" i="3"/>
  <c r="F59" i="3"/>
  <c r="Q59" i="3" s="1"/>
  <c r="O59" i="3" s="1"/>
  <c r="H27" i="3"/>
  <c r="F27" i="3"/>
  <c r="Q27" i="3" s="1"/>
  <c r="H56" i="3"/>
  <c r="F56" i="3"/>
  <c r="Q56" i="3" s="1"/>
  <c r="O56" i="3" s="1"/>
  <c r="H54" i="3"/>
  <c r="F54" i="3"/>
  <c r="Q54" i="3" s="1"/>
  <c r="H53" i="3"/>
  <c r="F53" i="3"/>
  <c r="Q53" i="3" s="1"/>
  <c r="O53" i="3" s="1"/>
  <c r="H52" i="3"/>
  <c r="F52" i="3"/>
  <c r="Q52" i="3" s="1"/>
  <c r="O52" i="3" s="1"/>
  <c r="H34" i="3"/>
  <c r="F34" i="3"/>
  <c r="Q34" i="3" s="1"/>
  <c r="O34" i="3" s="1"/>
  <c r="H51" i="3"/>
  <c r="F51" i="3"/>
  <c r="Q51" i="3" s="1"/>
  <c r="O51" i="3" s="1"/>
  <c r="H50" i="3"/>
  <c r="F50" i="3"/>
  <c r="Q50" i="3" s="1"/>
  <c r="O50" i="3" s="1"/>
  <c r="H49" i="3"/>
  <c r="F49" i="3"/>
  <c r="Q49" i="3" s="1"/>
  <c r="O49" i="3" s="1"/>
  <c r="H66" i="3"/>
  <c r="F66" i="3"/>
  <c r="Q66" i="3" s="1"/>
  <c r="O66" i="3" s="1"/>
  <c r="H47" i="3"/>
  <c r="F47" i="3"/>
  <c r="Q47" i="3" s="1"/>
  <c r="O47" i="3" s="1"/>
  <c r="H46" i="3"/>
  <c r="F46" i="3"/>
  <c r="Q46" i="3" s="1"/>
  <c r="O46" i="3" s="1"/>
  <c r="H45" i="3"/>
  <c r="F45" i="3"/>
  <c r="Q45" i="3" s="1"/>
  <c r="H44" i="3"/>
  <c r="F44" i="3"/>
  <c r="Q44" i="3" s="1"/>
  <c r="O44" i="3" s="1"/>
  <c r="H43" i="3"/>
  <c r="F43" i="3"/>
  <c r="Q43" i="3" s="1"/>
  <c r="O43" i="3" s="1"/>
  <c r="H41" i="3"/>
  <c r="F41" i="3"/>
  <c r="Q41" i="3" s="1"/>
  <c r="O41" i="3" s="1"/>
  <c r="H40" i="3"/>
  <c r="F40" i="3"/>
  <c r="Q40" i="3" s="1"/>
  <c r="O40" i="3" s="1"/>
  <c r="H60" i="3"/>
  <c r="F60" i="3"/>
  <c r="Q60" i="3" s="1"/>
  <c r="O60" i="3" s="1"/>
  <c r="H58" i="3"/>
  <c r="F58" i="3"/>
  <c r="H37" i="3"/>
  <c r="F37" i="3"/>
  <c r="Q37" i="3" s="1"/>
  <c r="K80" i="3"/>
  <c r="H36" i="3"/>
  <c r="F36" i="3"/>
  <c r="Q36" i="3" s="1"/>
  <c r="O36" i="3" s="1"/>
  <c r="H35" i="3"/>
  <c r="F35" i="3"/>
  <c r="Q35" i="3" s="1"/>
  <c r="O35" i="3" s="1"/>
  <c r="H33" i="3"/>
  <c r="F33" i="3"/>
  <c r="Q33" i="3" s="1"/>
  <c r="O33" i="3" s="1"/>
  <c r="H32" i="3"/>
  <c r="F32" i="3"/>
  <c r="Q32" i="3" s="1"/>
  <c r="H31" i="3"/>
  <c r="F31" i="3"/>
  <c r="Q31" i="3" s="1"/>
  <c r="O31" i="3" s="1"/>
  <c r="H30" i="3"/>
  <c r="F30" i="3"/>
  <c r="Q30" i="3" s="1"/>
  <c r="O30" i="3" s="1"/>
  <c r="H29" i="3"/>
  <c r="F29" i="3"/>
  <c r="Q29" i="3" s="1"/>
  <c r="O29" i="3" s="1"/>
  <c r="H28" i="3"/>
  <c r="F28" i="3"/>
  <c r="Q28" i="3" s="1"/>
  <c r="H26" i="3"/>
  <c r="F26" i="3"/>
  <c r="Q26" i="3" s="1"/>
  <c r="O26" i="3" s="1"/>
  <c r="H25" i="3"/>
  <c r="F25" i="3"/>
  <c r="Q25" i="3" s="1"/>
  <c r="O25" i="3" s="1"/>
  <c r="H24" i="3"/>
  <c r="F24" i="3"/>
  <c r="Q24" i="3" s="1"/>
  <c r="H23" i="3"/>
  <c r="F23" i="3"/>
  <c r="Q23" i="3" s="1"/>
  <c r="O23" i="3" s="1"/>
  <c r="H22" i="3"/>
  <c r="F22" i="3"/>
  <c r="Q22" i="3" s="1"/>
  <c r="O22" i="3" s="1"/>
  <c r="H21" i="3"/>
  <c r="F21" i="3"/>
  <c r="Q21" i="3" s="1"/>
  <c r="O21" i="3" s="1"/>
  <c r="H20" i="3"/>
  <c r="F20" i="3"/>
  <c r="Q20" i="3" s="1"/>
  <c r="O20" i="3" s="1"/>
  <c r="H19" i="3"/>
  <c r="F19" i="3"/>
  <c r="Q19" i="3" s="1"/>
  <c r="H18" i="3"/>
  <c r="F18" i="3"/>
  <c r="Q18" i="3" s="1"/>
  <c r="O18" i="3" s="1"/>
  <c r="H17" i="3"/>
  <c r="F17" i="3"/>
  <c r="Q17" i="3" s="1"/>
  <c r="O17" i="3" s="1"/>
  <c r="H13" i="3"/>
  <c r="F13" i="3"/>
  <c r="Q13" i="3" s="1"/>
  <c r="O13" i="3" s="1"/>
  <c r="H12" i="3"/>
  <c r="F12" i="3"/>
  <c r="Q12" i="3" s="1"/>
  <c r="O12" i="3" s="1"/>
  <c r="H11" i="3"/>
  <c r="F11" i="3"/>
  <c r="Q11" i="3" s="1"/>
  <c r="O11" i="3" s="1"/>
  <c r="H10" i="3"/>
  <c r="F10" i="3"/>
  <c r="Q10" i="3" s="1"/>
  <c r="O10" i="3" s="1"/>
  <c r="H9" i="3"/>
  <c r="F9" i="3"/>
  <c r="Q9" i="3" s="1"/>
  <c r="O9" i="3" s="1"/>
  <c r="H8" i="3"/>
  <c r="F8" i="3"/>
  <c r="Q8" i="3" s="1"/>
  <c r="H7" i="3"/>
  <c r="F7" i="3"/>
  <c r="Q7" i="3" s="1"/>
  <c r="O63" i="3" l="1"/>
  <c r="R67" i="3"/>
  <c r="O45" i="3"/>
  <c r="R48" i="3"/>
  <c r="O27" i="3"/>
  <c r="R31" i="3"/>
  <c r="H82" i="3"/>
  <c r="Q58" i="3"/>
  <c r="Q80" i="3" s="1"/>
  <c r="B21" i="5" s="1"/>
  <c r="R26" i="3"/>
  <c r="R20" i="3"/>
  <c r="R56" i="3"/>
  <c r="O54" i="3"/>
  <c r="R53" i="3"/>
  <c r="R36" i="3"/>
  <c r="O32" i="3"/>
  <c r="O24" i="3"/>
  <c r="R23" i="3"/>
  <c r="O37" i="3"/>
  <c r="R44" i="3"/>
  <c r="O28" i="3"/>
  <c r="O19" i="3"/>
  <c r="R18" i="3"/>
  <c r="K29" i="2"/>
  <c r="B23" i="5"/>
  <c r="O58" i="3" l="1"/>
  <c r="R62" i="3"/>
  <c r="R80" i="3" s="1"/>
  <c r="M22" i="2"/>
  <c r="O80" i="3" l="1"/>
  <c r="P81" i="3" s="1"/>
  <c r="F50" i="2"/>
  <c r="Q50" i="2" s="1"/>
  <c r="O50" i="2" s="1"/>
  <c r="H50" i="2"/>
  <c r="F38" i="2" l="1"/>
  <c r="Q38" i="2" s="1"/>
  <c r="O38" i="2" s="1"/>
  <c r="H38" i="2"/>
  <c r="F33" i="2"/>
  <c r="H33" i="2"/>
  <c r="Q33" i="2" l="1"/>
  <c r="O33" i="2" s="1"/>
  <c r="F56" i="2"/>
  <c r="Q56" i="2" s="1"/>
  <c r="O56" i="2" s="1"/>
  <c r="H56" i="2"/>
  <c r="F12" i="2" l="1"/>
  <c r="Q12" i="2" s="1"/>
  <c r="O12" i="2" s="1"/>
  <c r="H12" i="2"/>
  <c r="P59" i="2"/>
  <c r="N59" i="2"/>
  <c r="M59" i="2"/>
  <c r="L59" i="2"/>
  <c r="H58" i="2"/>
  <c r="F58" i="2"/>
  <c r="Q58" i="2" s="1"/>
  <c r="O58" i="2" s="1"/>
  <c r="H57" i="2"/>
  <c r="F57" i="2"/>
  <c r="Q57" i="2" s="1"/>
  <c r="O57" i="2" s="1"/>
  <c r="H55" i="2"/>
  <c r="F55" i="2"/>
  <c r="Q55" i="2" s="1"/>
  <c r="H54" i="2"/>
  <c r="F54" i="2"/>
  <c r="Q54" i="2" s="1"/>
  <c r="O54" i="2" s="1"/>
  <c r="H53" i="2"/>
  <c r="F53" i="2"/>
  <c r="Q53" i="2" s="1"/>
  <c r="O53" i="2" s="1"/>
  <c r="H52" i="2"/>
  <c r="F52" i="2"/>
  <c r="Q52" i="2" s="1"/>
  <c r="O52" i="2" s="1"/>
  <c r="H44" i="2"/>
  <c r="F44" i="2"/>
  <c r="Q44" i="2" s="1"/>
  <c r="O44" i="2" s="1"/>
  <c r="H51" i="2"/>
  <c r="F51" i="2"/>
  <c r="Q51" i="2" s="1"/>
  <c r="O51" i="2" s="1"/>
  <c r="H49" i="2"/>
  <c r="F49" i="2"/>
  <c r="Q49" i="2" s="1"/>
  <c r="H47" i="2"/>
  <c r="F47" i="2"/>
  <c r="Q47" i="2" s="1"/>
  <c r="H46" i="2"/>
  <c r="F46" i="2"/>
  <c r="Q46" i="2" s="1"/>
  <c r="O46" i="2" s="1"/>
  <c r="K59" i="2"/>
  <c r="H45" i="2"/>
  <c r="F45" i="2"/>
  <c r="H27" i="2"/>
  <c r="F27" i="2"/>
  <c r="Q27" i="2" s="1"/>
  <c r="O27" i="2" s="1"/>
  <c r="H41" i="2"/>
  <c r="F41" i="2"/>
  <c r="Q41" i="2" s="1"/>
  <c r="H16" i="2"/>
  <c r="F16" i="2"/>
  <c r="Q16" i="2" s="1"/>
  <c r="H40" i="2"/>
  <c r="F40" i="2"/>
  <c r="Q40" i="2" s="1"/>
  <c r="O40" i="2" s="1"/>
  <c r="H39" i="2"/>
  <c r="F39" i="2"/>
  <c r="Q39" i="2" s="1"/>
  <c r="O39" i="2" s="1"/>
  <c r="H37" i="2"/>
  <c r="F37" i="2"/>
  <c r="Q37" i="2" s="1"/>
  <c r="H36" i="2"/>
  <c r="F36" i="2"/>
  <c r="Q36" i="2" s="1"/>
  <c r="O36" i="2" s="1"/>
  <c r="H35" i="2"/>
  <c r="F35" i="2"/>
  <c r="Q35" i="2" s="1"/>
  <c r="O35" i="2" s="1"/>
  <c r="H34" i="2"/>
  <c r="F34" i="2"/>
  <c r="Q34" i="2" s="1"/>
  <c r="O34" i="2" s="1"/>
  <c r="H32" i="2"/>
  <c r="F32" i="2"/>
  <c r="Q32" i="2" s="1"/>
  <c r="O32" i="2" s="1"/>
  <c r="H31" i="2"/>
  <c r="F31" i="2"/>
  <c r="Q31" i="2" s="1"/>
  <c r="O31" i="2" s="1"/>
  <c r="H30" i="2"/>
  <c r="F30" i="2"/>
  <c r="Q30" i="2" s="1"/>
  <c r="O30" i="2" s="1"/>
  <c r="H29" i="2"/>
  <c r="F29" i="2"/>
  <c r="Q29" i="2" s="1"/>
  <c r="O29" i="2" s="1"/>
  <c r="H28" i="2"/>
  <c r="F28" i="2"/>
  <c r="Q28" i="2" s="1"/>
  <c r="O28" i="2" s="1"/>
  <c r="H26" i="2"/>
  <c r="F26" i="2"/>
  <c r="Q26" i="2" s="1"/>
  <c r="H25" i="2"/>
  <c r="F25" i="2"/>
  <c r="Q25" i="2" s="1"/>
  <c r="O25" i="2" s="1"/>
  <c r="H24" i="2"/>
  <c r="F24" i="2"/>
  <c r="Q24" i="2" s="1"/>
  <c r="O24" i="2" s="1"/>
  <c r="H23" i="2"/>
  <c r="F23" i="2"/>
  <c r="Q23" i="2" s="1"/>
  <c r="O23" i="2" s="1"/>
  <c r="H22" i="2"/>
  <c r="F22" i="2"/>
  <c r="Q22" i="2" s="1"/>
  <c r="H21" i="2"/>
  <c r="F21" i="2"/>
  <c r="Q21" i="2" s="1"/>
  <c r="O21" i="2" s="1"/>
  <c r="H20" i="2"/>
  <c r="F20" i="2"/>
  <c r="Q20" i="2" s="1"/>
  <c r="O20" i="2" s="1"/>
  <c r="H43" i="2"/>
  <c r="F43" i="2"/>
  <c r="Q43" i="2" s="1"/>
  <c r="O43" i="2" s="1"/>
  <c r="H19" i="2"/>
  <c r="F19" i="2"/>
  <c r="Q19" i="2" s="1"/>
  <c r="H18" i="2"/>
  <c r="F18" i="2"/>
  <c r="Q18" i="2" s="1"/>
  <c r="O18" i="2" s="1"/>
  <c r="H42" i="2"/>
  <c r="F42" i="2"/>
  <c r="Q42" i="2" s="1"/>
  <c r="O42" i="2" s="1"/>
  <c r="H17" i="2"/>
  <c r="F17" i="2"/>
  <c r="Q17" i="2" s="1"/>
  <c r="O17" i="2" s="1"/>
  <c r="H15" i="2"/>
  <c r="F15" i="2"/>
  <c r="Q15" i="2" s="1"/>
  <c r="O15" i="2" s="1"/>
  <c r="H48" i="2"/>
  <c r="F48" i="2"/>
  <c r="Q48" i="2" s="1"/>
  <c r="O48" i="2" s="1"/>
  <c r="H14" i="2"/>
  <c r="F14" i="2"/>
  <c r="Q14" i="2" s="1"/>
  <c r="H13" i="2"/>
  <c r="F13" i="2"/>
  <c r="Q13" i="2" s="1"/>
  <c r="O13" i="2" s="1"/>
  <c r="H11" i="2"/>
  <c r="F11" i="2"/>
  <c r="Q11" i="2" s="1"/>
  <c r="O11" i="2" s="1"/>
  <c r="H10" i="2"/>
  <c r="F10" i="2"/>
  <c r="Q10" i="2" s="1"/>
  <c r="O10" i="2" s="1"/>
  <c r="H9" i="2"/>
  <c r="F9" i="2"/>
  <c r="Q9" i="2" s="1"/>
  <c r="O9" i="2" s="1"/>
  <c r="H8" i="2"/>
  <c r="F8" i="2"/>
  <c r="Q8" i="2" s="1"/>
  <c r="O8" i="2" s="1"/>
  <c r="H7" i="2"/>
  <c r="F7" i="2"/>
  <c r="Q7" i="2" s="1"/>
  <c r="O7" i="2" s="1"/>
  <c r="H6" i="2"/>
  <c r="F6" i="2"/>
  <c r="Q6" i="2" s="1"/>
  <c r="H5" i="2"/>
  <c r="F5" i="2"/>
  <c r="Q5" i="2" s="1"/>
  <c r="O41" i="2" l="1"/>
  <c r="O47" i="2"/>
  <c r="R48" i="2"/>
  <c r="R18" i="2"/>
  <c r="Q45" i="2"/>
  <c r="O45" i="2" s="1"/>
  <c r="R13" i="2"/>
  <c r="R25" i="2"/>
  <c r="R58" i="2"/>
  <c r="O55" i="2"/>
  <c r="O19" i="2"/>
  <c r="R21" i="2"/>
  <c r="O16" i="2"/>
  <c r="R54" i="2"/>
  <c r="O49" i="2"/>
  <c r="R40" i="2"/>
  <c r="O37" i="2"/>
  <c r="O14" i="2"/>
  <c r="R15" i="2"/>
  <c r="O26" i="2"/>
  <c r="R29" i="2"/>
  <c r="O22" i="2"/>
  <c r="R36" i="2"/>
  <c r="Q59" i="2"/>
  <c r="F54" i="1"/>
  <c r="Q54" i="1" s="1"/>
  <c r="O54" i="1" s="1"/>
  <c r="H54" i="1"/>
  <c r="R46" i="2" l="1"/>
  <c r="R59" i="2" s="1"/>
  <c r="O59" i="2"/>
  <c r="F58" i="1" l="1"/>
  <c r="Q58" i="1" s="1"/>
  <c r="O58" i="1" s="1"/>
  <c r="H58" i="1"/>
  <c r="F57" i="1"/>
  <c r="Q57" i="1" s="1"/>
  <c r="O57" i="1" s="1"/>
  <c r="H57" i="1"/>
  <c r="H49" i="1"/>
  <c r="F49" i="1"/>
  <c r="Q49" i="1" s="1"/>
  <c r="O49" i="1" s="1"/>
  <c r="F22" i="1" l="1"/>
  <c r="Q22" i="1" s="1"/>
  <c r="O22" i="1" s="1"/>
  <c r="H22" i="1"/>
  <c r="F19" i="1"/>
  <c r="Q19" i="1" s="1"/>
  <c r="O19" i="1" s="1"/>
  <c r="H19" i="1"/>
  <c r="F42" i="1" l="1"/>
  <c r="Q42" i="1" s="1"/>
  <c r="O42" i="1" s="1"/>
  <c r="H42" i="1"/>
  <c r="P60" i="1" l="1"/>
  <c r="N60" i="1"/>
  <c r="M60" i="1"/>
  <c r="L60" i="1"/>
  <c r="H15" i="1"/>
  <c r="F15" i="1"/>
  <c r="Q15" i="1" s="1"/>
  <c r="O15" i="1" s="1"/>
  <c r="H59" i="1"/>
  <c r="F59" i="1"/>
  <c r="Q59" i="1" s="1"/>
  <c r="O59" i="1" s="1"/>
  <c r="H35" i="1"/>
  <c r="F35" i="1"/>
  <c r="Q35" i="1" s="1"/>
  <c r="O35" i="1" s="1"/>
  <c r="H56" i="1"/>
  <c r="F56" i="1"/>
  <c r="Q56" i="1" s="1"/>
  <c r="R59" i="1" s="1"/>
  <c r="H55" i="1"/>
  <c r="F55" i="1"/>
  <c r="Q55" i="1" s="1"/>
  <c r="H53" i="1"/>
  <c r="F53" i="1"/>
  <c r="Q53" i="1" s="1"/>
  <c r="O53" i="1" s="1"/>
  <c r="H52" i="1"/>
  <c r="F52" i="1"/>
  <c r="Q52" i="1" s="1"/>
  <c r="O52" i="1" s="1"/>
  <c r="H50" i="1"/>
  <c r="F50" i="1"/>
  <c r="Q50" i="1" s="1"/>
  <c r="O50" i="1" s="1"/>
  <c r="H48" i="1"/>
  <c r="F48" i="1"/>
  <c r="Q48" i="1" s="1"/>
  <c r="O48" i="1" s="1"/>
  <c r="H47" i="1"/>
  <c r="F47" i="1"/>
  <c r="Q47" i="1" s="1"/>
  <c r="R48" i="1" s="1"/>
  <c r="H46" i="1"/>
  <c r="F46" i="1"/>
  <c r="Q46" i="1" s="1"/>
  <c r="O46" i="1" s="1"/>
  <c r="K45" i="1"/>
  <c r="K60" i="1" s="1"/>
  <c r="H45" i="1"/>
  <c r="F45" i="1"/>
  <c r="H18" i="1"/>
  <c r="F18" i="1"/>
  <c r="Q18" i="1" s="1"/>
  <c r="O18" i="1" s="1"/>
  <c r="H51" i="1"/>
  <c r="F51" i="1"/>
  <c r="Q51" i="1" s="1"/>
  <c r="O51" i="1" s="1"/>
  <c r="H43" i="1"/>
  <c r="F43" i="1"/>
  <c r="Q43" i="1" s="1"/>
  <c r="O43" i="1" s="1"/>
  <c r="H41" i="1"/>
  <c r="F41" i="1"/>
  <c r="Q41" i="1" s="1"/>
  <c r="O41" i="1" s="1"/>
  <c r="H40" i="1"/>
  <c r="F40" i="1"/>
  <c r="Q40" i="1" s="1"/>
  <c r="O40" i="1" s="1"/>
  <c r="H39" i="1"/>
  <c r="F39" i="1"/>
  <c r="Q39" i="1" s="1"/>
  <c r="H38" i="1"/>
  <c r="F38" i="1"/>
  <c r="Q38" i="1" s="1"/>
  <c r="O38" i="1" s="1"/>
  <c r="H37" i="1"/>
  <c r="F37" i="1"/>
  <c r="Q37" i="1" s="1"/>
  <c r="O37" i="1" s="1"/>
  <c r="H36" i="1"/>
  <c r="F36" i="1"/>
  <c r="Q36" i="1" s="1"/>
  <c r="O36" i="1" s="1"/>
  <c r="H44" i="1"/>
  <c r="F44" i="1"/>
  <c r="Q44" i="1" s="1"/>
  <c r="O44" i="1" s="1"/>
  <c r="H34" i="1"/>
  <c r="F34" i="1"/>
  <c r="Q34" i="1" s="1"/>
  <c r="O34" i="1" s="1"/>
  <c r="H32" i="1"/>
  <c r="F32" i="1"/>
  <c r="Q32" i="1" s="1"/>
  <c r="H31" i="1"/>
  <c r="F31" i="1"/>
  <c r="Q31" i="1" s="1"/>
  <c r="O31" i="1" s="1"/>
  <c r="H30" i="1"/>
  <c r="F30" i="1"/>
  <c r="Q30" i="1" s="1"/>
  <c r="O30" i="1" s="1"/>
  <c r="H29" i="1"/>
  <c r="F29" i="1"/>
  <c r="Q29" i="1" s="1"/>
  <c r="O29" i="1" s="1"/>
  <c r="H28" i="1"/>
  <c r="F28" i="1"/>
  <c r="Q28" i="1" s="1"/>
  <c r="O28" i="1" s="1"/>
  <c r="H27" i="1"/>
  <c r="F27" i="1"/>
  <c r="Q27" i="1" s="1"/>
  <c r="O27" i="1" s="1"/>
  <c r="H25" i="1"/>
  <c r="F25" i="1"/>
  <c r="Q25" i="1" s="1"/>
  <c r="H24" i="1"/>
  <c r="F24" i="1"/>
  <c r="Q24" i="1" s="1"/>
  <c r="O24" i="1" s="1"/>
  <c r="H23" i="1"/>
  <c r="F23" i="1"/>
  <c r="Q23" i="1" s="1"/>
  <c r="O23" i="1" s="1"/>
  <c r="H21" i="1"/>
  <c r="F21" i="1"/>
  <c r="Q21" i="1" s="1"/>
  <c r="H20" i="1"/>
  <c r="F20" i="1"/>
  <c r="H14" i="1"/>
  <c r="F14" i="1"/>
  <c r="Q14" i="1" s="1"/>
  <c r="H26" i="1"/>
  <c r="F26" i="1"/>
  <c r="Q26" i="1" s="1"/>
  <c r="O26" i="1" s="1"/>
  <c r="H17" i="1"/>
  <c r="F17" i="1"/>
  <c r="Q17" i="1" s="1"/>
  <c r="H33" i="1"/>
  <c r="F33" i="1"/>
  <c r="Q33" i="1" s="1"/>
  <c r="O33" i="1" s="1"/>
  <c r="H16" i="1"/>
  <c r="F16" i="1"/>
  <c r="Q16" i="1" s="1"/>
  <c r="O16" i="1" s="1"/>
  <c r="H13" i="1"/>
  <c r="F13" i="1"/>
  <c r="Q13" i="1" s="1"/>
  <c r="O13" i="1" s="1"/>
  <c r="H12" i="1"/>
  <c r="F12" i="1"/>
  <c r="Q12" i="1" s="1"/>
  <c r="O12" i="1" s="1"/>
  <c r="H11" i="1"/>
  <c r="F11" i="1"/>
  <c r="Q11" i="1" s="1"/>
  <c r="H10" i="1"/>
  <c r="F10" i="1"/>
  <c r="Q10" i="1" s="1"/>
  <c r="O10" i="1" s="1"/>
  <c r="H9" i="1"/>
  <c r="F9" i="1"/>
  <c r="Q9" i="1" s="1"/>
  <c r="O9" i="1" s="1"/>
  <c r="H8" i="1"/>
  <c r="F8" i="1"/>
  <c r="Q8" i="1" s="1"/>
  <c r="O8" i="1" s="1"/>
  <c r="H7" i="1"/>
  <c r="F7" i="1"/>
  <c r="Q7" i="1" s="1"/>
  <c r="O7" i="1" s="1"/>
  <c r="H6" i="1"/>
  <c r="F6" i="1"/>
  <c r="Q6" i="1" s="1"/>
  <c r="O6" i="1" s="1"/>
  <c r="H5" i="1"/>
  <c r="F5" i="1"/>
  <c r="Q5" i="1" s="1"/>
  <c r="O5" i="1" s="1"/>
  <c r="O14" i="1" l="1"/>
  <c r="R16" i="1"/>
  <c r="O11" i="1"/>
  <c r="R13" i="1"/>
  <c r="O55" i="1"/>
  <c r="R55" i="1"/>
  <c r="R24" i="1"/>
  <c r="Q20" i="1"/>
  <c r="O20" i="1" s="1"/>
  <c r="Q45" i="1"/>
  <c r="O45" i="1" s="1"/>
  <c r="R41" i="1"/>
  <c r="O32" i="1"/>
  <c r="R38" i="1"/>
  <c r="O47" i="1"/>
  <c r="O56" i="1"/>
  <c r="O17" i="1"/>
  <c r="O25" i="1"/>
  <c r="R28" i="1"/>
  <c r="O21" i="1"/>
  <c r="R31" i="1"/>
  <c r="O39" i="1"/>
  <c r="Q60" i="1" l="1"/>
  <c r="R20" i="1"/>
  <c r="R46" i="1"/>
  <c r="O60" i="1"/>
  <c r="R60" i="1" l="1"/>
  <c r="Q13" i="4"/>
  <c r="Q77" i="4" s="1"/>
  <c r="O13" i="4" l="1"/>
  <c r="O77" i="4" l="1"/>
  <c r="S24" i="4"/>
  <c r="S25" i="4"/>
  <c r="S77" i="4" l="1"/>
  <c r="F79" i="4" s="1"/>
  <c r="F85" i="4" s="1"/>
  <c r="F81" i="4" l="1"/>
  <c r="G8" i="8" l="1"/>
  <c r="T8" i="8" l="1"/>
  <c r="R8" i="8" s="1"/>
  <c r="R85" i="8" s="1"/>
  <c r="V8" i="8"/>
  <c r="V85" i="8" s="1"/>
  <c r="G87" i="8" s="1"/>
  <c r="T85" i="8" l="1"/>
  <c r="G89" i="8"/>
</calcChain>
</file>

<file path=xl/comments1.xml><?xml version="1.0" encoding="utf-8"?>
<comments xmlns="http://schemas.openxmlformats.org/spreadsheetml/2006/main">
  <authors>
    <author>Usuario de Windows</author>
  </authors>
  <commentList>
    <comment ref="K8" authorId="0" shapeId="0">
      <text>
        <r>
          <rPr>
            <b/>
            <sz val="9"/>
            <color indexed="81"/>
            <rFont val="Tahoma"/>
            <family val="2"/>
          </rPr>
          <t>ABONO A FACTURA 88INT. MONTO TOTAL $31,240.60. RESTA $27,250.00.</t>
        </r>
      </text>
    </comment>
    <comment ref="K10" authorId="0" shapeId="0">
      <text>
        <r>
          <rPr>
            <sz val="9"/>
            <color indexed="81"/>
            <rFont val="Tahoma"/>
            <family val="2"/>
          </rPr>
          <t>Descuento de Factura 82INT.
Resta $6,000.00
Resta Factura 90INT por $1,595.00</t>
        </r>
      </text>
    </comment>
    <comment ref="K18" authorId="0" shapeId="0">
      <text>
        <r>
          <rPr>
            <b/>
            <sz val="9"/>
            <color indexed="81"/>
            <rFont val="Tahoma"/>
            <family val="2"/>
          </rPr>
          <t>PAGO 2/2 FACT. 89INT.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PERMISO 10 ENERO.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ABONO A CUENTA.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</rPr>
          <t>INGRESO 04 ENERO.</t>
        </r>
      </text>
    </comment>
    <comment ref="I24" authorId="0" shapeId="0">
      <text>
        <r>
          <rPr>
            <b/>
            <sz val="9"/>
            <color indexed="81"/>
            <rFont val="Tahoma"/>
            <family val="2"/>
          </rPr>
          <t>PERMISO 07 ENERO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</rPr>
          <t>PAGO 2/8. MONTO DEUDA $4,500.00.
EN EL SYTEX SE APLICA PAGO DE $250.00 CADA QUINCENA.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PERMISO 07 ENERO.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 xml:space="preserve">FALTA 03 ENERO
</t>
        </r>
      </text>
    </comment>
    <comment ref="K33" authorId="0" shapeId="0">
      <text>
        <r>
          <rPr>
            <b/>
            <sz val="9"/>
            <color indexed="81"/>
            <rFont val="Tahoma"/>
            <family val="2"/>
          </rPr>
          <t>PAGO 2/2 FACT. 89 INT.</t>
        </r>
      </text>
    </comment>
    <comment ref="M33" authorId="0" shapeId="0">
      <text>
        <r>
          <rPr>
            <b/>
            <sz val="9"/>
            <color indexed="81"/>
            <rFont val="Tahoma"/>
            <family val="2"/>
          </rPr>
          <t>DESCUENTO POR FALTA.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FALTA 12 ENERO.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</rPr>
          <t>DESCUENTO POR FALTA.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PAGO DOBLE EL 01 ENERO.</t>
        </r>
      </text>
    </comment>
    <comment ref="K41" authorId="0" shapeId="0">
      <text>
        <r>
          <rPr>
            <b/>
            <sz val="9"/>
            <color indexed="81"/>
            <rFont val="Tahoma"/>
            <family val="2"/>
          </rPr>
          <t>PAGO 3/3. ORIGINALMENTE SE LE PRESTÓ $1,400.00 PARA TRÁMITE DE LICENCIA.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INGRESO 07 ENERO.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PERMISO 07 Y 08 ENERO.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</rPr>
          <t>ABONO 4/20. RESTA $8,000.00. PAGO 2/2 POR EXTRAVÍO DE LLANTA. MONTO TOTAL $317.00.</t>
        </r>
      </text>
    </comment>
    <comment ref="I46" authorId="0" shapeId="0">
      <text>
        <r>
          <rPr>
            <b/>
            <sz val="9"/>
            <color indexed="81"/>
            <rFont val="Tahoma"/>
            <family val="2"/>
          </rPr>
          <t>PAGO DOBLE 01 DE ENERO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REINGRESO 07 ENERO.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FALTA 08 ENERO.</t>
        </r>
      </text>
    </comment>
    <comment ref="K52" authorId="0" shapeId="0">
      <text>
        <r>
          <rPr>
            <b/>
            <sz val="9"/>
            <color indexed="81"/>
            <rFont val="Tahoma"/>
            <family val="2"/>
          </rPr>
          <t>MATRIX:
PAGO 22/36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0" shapeId="0">
      <text>
        <r>
          <rPr>
            <b/>
            <sz val="9"/>
            <color indexed="81"/>
            <rFont val="Tahoma"/>
            <family val="2"/>
          </rPr>
          <t>MATRIX:
PAGO 85/94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</rPr>
          <t>INGRESO 08 ENERO.</t>
        </r>
      </text>
    </comment>
    <comment ref="I58" authorId="0" shapeId="0">
      <text>
        <r>
          <rPr>
            <b/>
            <sz val="9"/>
            <color indexed="81"/>
            <rFont val="Tahoma"/>
            <family val="2"/>
          </rPr>
          <t>INGRESO 10 ENERO.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</rPr>
          <t>FALTA 11 ENERO.</t>
        </r>
      </text>
    </comment>
    <comment ref="M59" authorId="0" shapeId="0">
      <text>
        <r>
          <rPr>
            <b/>
            <sz val="9"/>
            <color indexed="81"/>
            <rFont val="Tahoma"/>
            <family val="2"/>
          </rPr>
          <t>SANCION POR FALTA.</t>
        </r>
      </text>
    </comment>
  </commentList>
</comments>
</file>

<file path=xl/comments2.xml><?xml version="1.0" encoding="utf-8"?>
<comments xmlns="http://schemas.openxmlformats.org/spreadsheetml/2006/main">
  <authors>
    <author>Usuario de Windows</author>
  </authors>
  <commentList>
    <comment ref="K7" authorId="0" shapeId="0">
      <text>
        <r>
          <rPr>
            <b/>
            <sz val="9"/>
            <color indexed="81"/>
            <rFont val="Tahoma"/>
            <family val="2"/>
          </rPr>
          <t>ABONO A FACTURA 88INT. MONTO TOTAL $31,240.60. RESTA $26,500.00.</t>
        </r>
      </text>
    </comment>
    <comment ref="K9" authorId="0" shapeId="0">
      <text>
        <r>
          <rPr>
            <sz val="9"/>
            <color indexed="81"/>
            <rFont val="Tahoma"/>
            <family val="2"/>
          </rPr>
          <t>Descuento de Factura 82INT.
Resta $5,000.00
Resta Factura 90INT por $1,595.00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</rPr>
          <t>INGRESO 12 ENERO.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RETARDO Y CANCELACION TICKET.</t>
        </r>
      </text>
    </comment>
    <comment ref="M16" authorId="0" shapeId="0">
      <text>
        <r>
          <rPr>
            <b/>
            <sz val="9"/>
            <color indexed="81"/>
            <rFont val="Tahoma"/>
            <family val="2"/>
          </rPr>
          <t>POR NO ENCENDER LUCES. CANCELACION TICKET.</t>
        </r>
      </text>
    </comment>
    <comment ref="K19" authorId="0" shapeId="0">
      <text>
        <r>
          <rPr>
            <b/>
            <sz val="9"/>
            <color indexed="81"/>
            <rFont val="Tahoma"/>
            <family val="2"/>
          </rPr>
          <t>ABONO A CUENTA.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</rPr>
          <t>PERMISO 18 ENERO</t>
        </r>
      </text>
    </comment>
    <comment ref="M22" authorId="0" shapeId="0">
      <text>
        <r>
          <rPr>
            <b/>
            <sz val="9"/>
            <color indexed="81"/>
            <rFont val="Tahoma"/>
            <family val="2"/>
          </rPr>
          <t>FALTANTE CAJA CHICA.</t>
        </r>
      </text>
    </comment>
    <comment ref="K23" authorId="0" shapeId="0">
      <text>
        <r>
          <rPr>
            <b/>
            <sz val="9"/>
            <color indexed="81"/>
            <rFont val="Tahoma"/>
            <family val="2"/>
          </rPr>
          <t>PAGO 3/8. MONTO DEUDA $4,500.00.
EN EL SYTEX SE APLICA PAGO DE $250.00 CADA QUINCENA.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FALTA 17 Y BAJA 28 ENERO.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</rPr>
          <t>Abono 1/4 por Factura 94INT $2,634.94.
Abono 1/8 por préstamo de $8,000.00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INGRESO 22 ENERO.</t>
        </r>
      </text>
    </comment>
    <comment ref="L32" authorId="0" shapeId="0">
      <text>
        <r>
          <rPr>
            <b/>
            <sz val="9"/>
            <color indexed="81"/>
            <rFont val="Tahoma"/>
            <family val="2"/>
          </rPr>
          <t>RETARDO, CANCELACION TICKET.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INGRESO EL 21 ENERO.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INGRESO 25 ENERO.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</rPr>
          <t>BAJA 28 ENERO.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</rPr>
          <t xml:space="preserve">ABONO 5/20. RESTA $7,500.00. 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</rPr>
          <t>ABONO 1/5. PRÉSTAMO DE $5,000.00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PERMISO 18 ENERO</t>
        </r>
      </text>
    </comment>
    <comment ref="K52" authorId="0" shapeId="0">
      <text>
        <r>
          <rPr>
            <b/>
            <sz val="9"/>
            <color indexed="81"/>
            <rFont val="Tahoma"/>
            <family val="2"/>
          </rPr>
          <t>MATRIX:
PAGO 23/36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0" shapeId="0">
      <text>
        <r>
          <rPr>
            <b/>
            <sz val="9"/>
            <color indexed="81"/>
            <rFont val="Tahoma"/>
            <family val="2"/>
          </rPr>
          <t>MATRIX:
PAGO 86/94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</rPr>
          <t>INGRESO 23 ENERO</t>
        </r>
      </text>
    </comment>
  </commentList>
</comments>
</file>

<file path=xl/comments3.xml><?xml version="1.0" encoding="utf-8"?>
<comments xmlns="http://schemas.openxmlformats.org/spreadsheetml/2006/main">
  <authors>
    <author>Usuario de Windows</author>
  </authors>
  <commentList>
    <comment ref="P7" authorId="0" shapeId="0">
      <text>
        <r>
          <rPr>
            <b/>
            <sz val="9"/>
            <color indexed="81"/>
            <rFont val="Tahoma"/>
            <family val="2"/>
          </rPr>
          <t>homologar sueldo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</rPr>
          <t>ABONO A FACTURA 88INT. MONTO TOTAL $31,240.60. RESTA $25,750.00.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>Descuento de Factura 82INT.
Resta $4,000.00
Resta Factura 90INT por $1,595.00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6" authorId="0" shapeId="0">
      <text>
        <r>
          <rPr>
            <b/>
            <sz val="9"/>
            <color indexed="81"/>
            <rFont val="Tahoma"/>
            <family val="2"/>
          </rPr>
          <t>INGRESO 12 FEBRERO.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</rPr>
          <t>INGRESO 02 FEBRERO.</t>
        </r>
      </text>
    </comment>
    <comment ref="M19" authorId="0" shapeId="0">
      <text>
        <r>
          <rPr>
            <b/>
            <sz val="9"/>
            <color indexed="81"/>
            <rFont val="Tahoma"/>
            <family val="2"/>
          </rPr>
          <t>POR DESORDEN EN INVENTARIO.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POR NO TENER ORDEN EN INVENTARIO.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FALTA 04 FEBRERO.</t>
        </r>
      </text>
    </comment>
    <comment ref="K24" authorId="0" shapeId="0">
      <text>
        <r>
          <rPr>
            <b/>
            <sz val="9"/>
            <color indexed="81"/>
            <rFont val="Tahoma"/>
            <family val="2"/>
          </rPr>
          <t>ULTIMO ABONO A CUENTA.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7" authorId="0" shapeId="0">
      <text>
        <r>
          <rPr>
            <b/>
            <sz val="9"/>
            <color indexed="81"/>
            <rFont val="Tahoma"/>
            <family val="2"/>
          </rPr>
          <t>CANCELACION DE TICKET. INVENTARIO ALEATORIO.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BAJA 09 FEBRERO.</t>
        </r>
      </text>
    </comment>
    <comment ref="M28" authorId="0" shapeId="0">
      <text>
        <r>
          <rPr>
            <b/>
            <sz val="9"/>
            <color indexed="81"/>
            <rFont val="Tahoma"/>
            <family val="2"/>
          </rPr>
          <t>FALTANTE CAJA CHICA.
FALTANTE DE LLANTA.
INVENTARIO ALEATORIO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</rPr>
          <t>PAGO 4/8. MONTO DEUDA $4,500.00.
EN EL SYTEX SE APLICA PAGO DE $250.00 CADA QUINCENA.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FALTA 11 FEBRERO.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FALTA 09 FEBRERO.</t>
        </r>
      </text>
    </comment>
    <comment ref="I32" authorId="0" shapeId="0">
      <text>
        <r>
          <rPr>
            <b/>
            <sz val="9"/>
            <color indexed="81"/>
            <rFont val="Tahoma"/>
            <family val="2"/>
          </rPr>
          <t>PERMISO 2 DÍAS.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</rPr>
          <t>PAGO 1/2. PRESTAMO $800.00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PERMISO 4, 5, 6 Y 7 FEBRERO.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FALTÓ DESDE EL 12 DE FEBRERO.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</rPr>
          <t>Abono 2/4  ($659.00)por Factura 94INT $2,634.94.
Abono 2/8 ($1,000.00) por préstamo de $8,000.00</t>
        </r>
      </text>
    </comment>
    <comment ref="M37" authorId="0" shapeId="0">
      <text>
        <r>
          <rPr>
            <b/>
            <sz val="9"/>
            <color indexed="81"/>
            <rFont val="Tahoma"/>
            <family val="2"/>
          </rPr>
          <t>($50.00) LIMPIEZA SUCURSAL.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INGRESO 12 FEBRERO.</t>
        </r>
      </text>
    </comment>
    <comment ref="I39" authorId="0" shapeId="0">
      <text>
        <r>
          <rPr>
            <b/>
            <sz val="9"/>
            <color indexed="81"/>
            <rFont val="Tahoma"/>
            <family val="2"/>
          </rPr>
          <t>FALTA 11 FEBRERO.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</rPr>
          <t>MATRIX:
PAGO 24/36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9" authorId="0" shapeId="0">
      <text>
        <r>
          <rPr>
            <b/>
            <sz val="9"/>
            <color indexed="81"/>
            <rFont val="Tahoma"/>
            <family val="2"/>
          </rPr>
          <t>ERROR DE COBRO EN LA FORMA DE PAGO.</t>
        </r>
      </text>
    </comment>
    <comment ref="M40" authorId="0" shapeId="0">
      <text>
        <r>
          <rPr>
            <b/>
            <sz val="9"/>
            <color indexed="81"/>
            <rFont val="Tahoma"/>
            <family val="2"/>
          </rPr>
          <t>CANCELACIÓN TICKET.</t>
        </r>
      </text>
    </comment>
    <comment ref="I41" authorId="0" shapeId="0">
      <text>
        <r>
          <rPr>
            <b/>
            <sz val="9"/>
            <color indexed="81"/>
            <rFont val="Tahoma"/>
            <family val="2"/>
          </rPr>
          <t>BAJA 06 DE FEBRERO.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INGRESO 05 ENERO. FALTA 14 ENERO.</t>
        </r>
      </text>
    </comment>
    <comment ref="L42" authorId="0" shapeId="0">
      <text>
        <r>
          <rPr>
            <b/>
            <sz val="9"/>
            <color indexed="81"/>
            <rFont val="Tahoma"/>
            <family val="2"/>
          </rPr>
          <t xml:space="preserve">SANCIÓN POR LLEGAR TARDE 08 FEBRERO.
SANCION POR RETARDO 12 FEBRERO.
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PERMISO 06 FEBRERO.</t>
        </r>
      </text>
    </comment>
    <comment ref="M54" authorId="0" shapeId="0">
      <text>
        <r>
          <rPr>
            <b/>
            <sz val="9"/>
            <color indexed="81"/>
            <rFont val="Tahoma"/>
            <family val="2"/>
          </rPr>
          <t>FALTANTE CAJA CHICA.</t>
        </r>
      </text>
    </comment>
    <comment ref="I55" authorId="0" shapeId="0">
      <text>
        <r>
          <rPr>
            <b/>
            <sz val="9"/>
            <color indexed="81"/>
            <rFont val="Tahoma"/>
            <family val="2"/>
          </rPr>
          <t>INGRESO 12 FEBRERO.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</rPr>
          <t>INGRESO 04 FEBRERO.</t>
        </r>
      </text>
    </comment>
    <comment ref="M58" authorId="0" shapeId="0">
      <text>
        <r>
          <rPr>
            <b/>
            <sz val="9"/>
            <color indexed="81"/>
            <rFont val="Tahoma"/>
            <family val="2"/>
          </rPr>
          <t>$200.00 POR SALIR DE LA SUCURSAL.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</rPr>
          <t>PERMISO 07 FEBRERO.</t>
        </r>
      </text>
    </comment>
    <comment ref="K61" authorId="0" shapeId="0">
      <text>
        <r>
          <rPr>
            <b/>
            <sz val="9"/>
            <color indexed="81"/>
            <rFont val="Tahoma"/>
            <family val="2"/>
          </rPr>
          <t>MATRIX:
PAGO 87/94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5" authorId="0" shapeId="0">
      <text>
        <r>
          <rPr>
            <b/>
            <sz val="9"/>
            <color indexed="81"/>
            <rFont val="Tahoma"/>
            <family val="2"/>
          </rPr>
          <t>INGRESO 31 ENERO.</t>
        </r>
      </text>
    </comment>
    <comment ref="I66" authorId="0" shapeId="0">
      <text>
        <r>
          <rPr>
            <b/>
            <sz val="9"/>
            <color indexed="81"/>
            <rFont val="Tahoma"/>
            <family val="2"/>
          </rPr>
          <t>INGRESO 07 FEBRERO.</t>
        </r>
      </text>
    </comment>
  </commentList>
</comments>
</file>

<file path=xl/comments4.xml><?xml version="1.0" encoding="utf-8"?>
<comments xmlns="http://schemas.openxmlformats.org/spreadsheetml/2006/main">
  <authors>
    <author>Usuario de Windows</author>
    <author>SCG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</rPr>
          <t>Descuento de Factura 82INT.
Resta $3,000.00
Resta Factura 90INT por $1,595.00</t>
        </r>
        <r>
          <rPr>
            <sz val="9"/>
            <color indexed="81"/>
            <rFont val="Tahoma"/>
            <family val="2"/>
          </rPr>
          <t xml:space="preserve">
SE DESCUENTA SOLO 500 2DA 15NA DE FEB</t>
        </r>
      </text>
    </comment>
    <comment ref="I18" authorId="1" shapeId="0">
      <text>
        <r>
          <rPr>
            <b/>
            <sz val="9"/>
            <color indexed="81"/>
            <rFont val="Tahoma"/>
            <family val="2"/>
          </rPr>
          <t>fecha de ingreso 20 de Febrero</t>
        </r>
      </text>
    </comment>
    <comment ref="I21" authorId="1" shapeId="0">
      <text>
        <r>
          <rPr>
            <b/>
            <sz val="9"/>
            <color indexed="81"/>
            <rFont val="Tahoma"/>
            <family val="2"/>
          </rPr>
          <t xml:space="preserve">INGRESÓ EL 13 DE FEBRERO- PAGO POR 2 DIAS DE QUINCENA ANTERIOR QUE NO SE LE PAGO </t>
        </r>
      </text>
    </comment>
    <comment ref="I23" authorId="1" shapeId="0">
      <text>
        <r>
          <rPr>
            <b/>
            <sz val="9"/>
            <color indexed="81"/>
            <rFont val="Tahoma"/>
            <family val="2"/>
          </rPr>
          <t>2 FALTAS INJUSTIFICADAS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PAGO 5/8. MONTO DEUDA $3,935.00
EN EL SYTEX SE APLICA PAGO DE $250.00 CADA QUINCENA.</t>
        </r>
      </text>
    </comment>
    <comment ref="I29" authorId="1" shapeId="0">
      <text>
        <r>
          <rPr>
            <b/>
            <sz val="9"/>
            <color indexed="81"/>
            <rFont val="Tahoma"/>
            <family val="2"/>
          </rPr>
          <t>SE LE PAGA UN DIA QUE SE LE DESCONTO POR ERROR</t>
        </r>
      </text>
    </comment>
    <comment ref="K29" authorId="1" shapeId="0">
      <text>
        <r>
          <rPr>
            <b/>
            <sz val="9"/>
            <color indexed="81"/>
            <rFont val="Tahoma"/>
            <family val="2"/>
          </rPr>
          <t>PAGO POR DIFERENCIA DE INVENTARIO DE LLANTA DEL DIA 14 DE FEBRERO</t>
        </r>
      </text>
    </comment>
    <comment ref="K30" authorId="1" shapeId="0">
      <text>
        <r>
          <rPr>
            <b/>
            <sz val="9"/>
            <color indexed="81"/>
            <rFont val="Tahoma"/>
            <family val="2"/>
          </rPr>
          <t>PAGO DE DEUDA POR DIFERENCIA DE LLANTA FALTANTE DEL 14 DE FEBRERO</t>
        </r>
      </text>
    </comment>
    <comment ref="I31" authorId="1" shapeId="0">
      <text>
        <r>
          <rPr>
            <b/>
            <sz val="9"/>
            <color indexed="81"/>
            <rFont val="Tahoma"/>
            <family val="2"/>
          </rPr>
          <t>SE LE PAGA SOLO DE 7 DIAS TRABAJADOS ANTES DE SU BAJA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</rPr>
          <t>PAGO 2/2. PRESTAMO $800.00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Abono 3/4  ($659.00)por Factura 94INT $2,634.94.
Abono 3/8 ($1,000.00) por préstamo de $8,000.00 SE LE QUITA EN COMISIONES</t>
        </r>
      </text>
    </comment>
    <comment ref="K35" authorId="1" shapeId="0">
      <text>
        <r>
          <rPr>
            <b/>
            <sz val="9"/>
            <color indexed="81"/>
            <rFont val="Tahoma"/>
            <family val="2"/>
          </rPr>
          <t>PAGO DE LLANTA PERDIDA</t>
        </r>
      </text>
    </comment>
    <comment ref="H36" authorId="1" shapeId="0">
      <text>
        <r>
          <rPr>
            <b/>
            <sz val="9"/>
            <color indexed="81"/>
            <rFont val="Tahoma"/>
            <family val="2"/>
          </rPr>
          <t>INCREMENTAR A 3500 A PARTIR DE 15 DE MARZO</t>
        </r>
      </text>
    </comment>
    <comment ref="K37" authorId="0" shapeId="0">
      <text>
        <r>
          <rPr>
            <b/>
            <sz val="9"/>
            <color indexed="81"/>
            <rFont val="Tahoma"/>
            <family val="2"/>
          </rPr>
          <t>MATRIX:
PAGO 25/36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7" authorId="0" shapeId="0">
      <text>
        <r>
          <rPr>
            <b/>
            <sz val="9"/>
            <color indexed="81"/>
            <rFont val="Tahoma"/>
            <family val="2"/>
          </rPr>
          <t>ERROR DE COBRO EN LA FORMA DE PAGO.</t>
        </r>
      </text>
    </comment>
    <comment ref="M38" authorId="0" shapeId="0">
      <text>
        <r>
          <rPr>
            <b/>
            <sz val="9"/>
            <color indexed="81"/>
            <rFont val="Tahoma"/>
            <family val="2"/>
          </rPr>
          <t>CANCELACIÓN TICKET.</t>
        </r>
      </text>
    </comment>
    <comment ref="I44" authorId="1" shapeId="0">
      <text>
        <r>
          <rPr>
            <b/>
            <sz val="9"/>
            <color indexed="81"/>
            <rFont val="Tahoma"/>
            <family val="2"/>
          </rPr>
          <t>INICIÓ EL 20 DE FEBRERO-SE LE PAGAN 9 DIAS TRABAJADOS</t>
        </r>
      </text>
    </comment>
    <comment ref="K50" authorId="1" shapeId="0">
      <text>
        <r>
          <rPr>
            <b/>
            <sz val="9"/>
            <color indexed="81"/>
            <rFont val="Tahoma"/>
            <family val="2"/>
          </rPr>
          <t>ABONO 6 Y 7 DE 20 DE PRESTAMO DE 10 MIL PESOS</t>
        </r>
      </text>
    </comment>
    <comment ref="M52" authorId="0" shapeId="0">
      <text>
        <r>
          <rPr>
            <b/>
            <sz val="9"/>
            <color indexed="81"/>
            <rFont val="Tahoma"/>
            <family val="2"/>
          </rPr>
          <t>FALTANTE CAJA CHICA.</t>
        </r>
      </text>
    </comment>
    <comment ref="I55" authorId="1" shapeId="0">
      <text>
        <r>
          <rPr>
            <b/>
            <sz val="9"/>
            <color indexed="81"/>
            <rFont val="Tahoma"/>
            <family val="2"/>
          </rPr>
          <t>INGRESO EL 18 DE FEBRERO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</rPr>
          <t>MATRIX:
PAGO 88/94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8" authorId="1" shapeId="0">
      <text>
        <r>
          <rPr>
            <b/>
            <sz val="9"/>
            <color indexed="81"/>
            <rFont val="Tahoma"/>
            <family val="2"/>
          </rPr>
          <t>INGRESA EL 23 DE FEBRERO</t>
        </r>
      </text>
    </comment>
    <comment ref="K59" authorId="1" shapeId="0">
      <text>
        <r>
          <rPr>
            <b/>
            <sz val="9"/>
            <color indexed="81"/>
            <rFont val="Tahoma"/>
            <family val="2"/>
          </rPr>
          <t>PAGO 1 DE 10 DE $500.00 POR LLELGAR TOMADO</t>
        </r>
      </text>
    </comment>
    <comment ref="M73" authorId="1" shapeId="0">
      <text>
        <r>
          <rPr>
            <b/>
            <sz val="9"/>
            <color indexed="81"/>
            <rFont val="Tahoma"/>
            <family val="2"/>
          </rPr>
          <t>DESCUENTO DE CANCELACIÓN DE FACTURA $100</t>
        </r>
      </text>
    </comment>
  </commentList>
</comments>
</file>

<file path=xl/comments5.xml><?xml version="1.0" encoding="utf-8"?>
<comments xmlns="http://schemas.openxmlformats.org/spreadsheetml/2006/main">
  <authors>
    <author>Lenovo</author>
    <author>Usuario de Windows</author>
    <author>SCG</author>
    <author>MATRIX</author>
  </authors>
  <commentList>
    <comment ref="J13" authorId="0" shapeId="0">
      <text>
        <r>
          <rPr>
            <sz val="9"/>
            <color indexed="81"/>
            <rFont val="Tahoma"/>
            <family val="2"/>
          </rPr>
          <t>INICIO 20/03/2019</t>
        </r>
      </text>
    </comment>
    <comment ref="N14" authorId="1" shapeId="0">
      <text>
        <r>
          <rPr>
            <b/>
            <sz val="9"/>
            <color indexed="81"/>
            <rFont val="Tahoma"/>
            <family val="2"/>
          </rPr>
          <t>Descuento de Factura 82INT.
Resta $2,500.00
Resta Factura 90INT por $1,595.00</t>
        </r>
        <r>
          <rPr>
            <sz val="9"/>
            <color indexed="81"/>
            <rFont val="Tahoma"/>
            <family val="2"/>
          </rPr>
          <t xml:space="preserve">
SE DESCUENTA $1000 PESOS HASTA TERMINAR DEUDA</t>
        </r>
      </text>
    </comment>
    <comment ref="J16" authorId="2" shapeId="0">
      <text>
        <r>
          <rPr>
            <b/>
            <sz val="9"/>
            <color indexed="81"/>
            <rFont val="Tahoma"/>
            <family val="2"/>
          </rPr>
          <t>INGRESO- 05 DE MARZO</t>
        </r>
      </text>
    </comment>
    <comment ref="J21" authorId="2" shapeId="0">
      <text>
        <r>
          <rPr>
            <b/>
            <sz val="9"/>
            <color indexed="81"/>
            <rFont val="Tahoma"/>
            <family val="2"/>
          </rPr>
          <t>REINGRESO EL LUNES 11 DE MARZO</t>
        </r>
      </text>
    </comment>
    <comment ref="J22" authorId="0" shapeId="0">
      <text>
        <r>
          <rPr>
            <sz val="9"/>
            <color indexed="81"/>
            <rFont val="Tahoma"/>
            <family val="2"/>
          </rPr>
          <t>INCIO 18/03/2019</t>
        </r>
      </text>
    </comment>
    <comment ref="O28" authorId="2" shapeId="0">
      <text>
        <r>
          <rPr>
            <b/>
            <sz val="9"/>
            <color indexed="81"/>
            <rFont val="Tahoma"/>
            <family val="2"/>
          </rPr>
          <t>dia 5 8:05, dia 6 8:01 dia 8 8:09, dia 11 8:07</t>
        </r>
      </text>
    </comment>
    <comment ref="J30" authorId="2" shapeId="0">
      <text>
        <r>
          <rPr>
            <b/>
            <sz val="9"/>
            <color indexed="81"/>
            <rFont val="Tahoma"/>
            <family val="2"/>
          </rPr>
          <t>INGRESO EL VIERNES 08 DE MARZO</t>
        </r>
      </text>
    </comment>
    <comment ref="P32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 ALEATORIO MASRTES 5 </t>
        </r>
      </text>
    </comment>
    <comment ref="J33" authorId="2" shapeId="0">
      <text>
        <r>
          <rPr>
            <b/>
            <sz val="9"/>
            <color indexed="81"/>
            <rFont val="Tahoma"/>
            <family val="2"/>
          </rPr>
          <t>INGRESO 05 DE MARZO</t>
        </r>
      </text>
    </comment>
    <comment ref="P34" authorId="2" shapeId="0">
      <text>
        <r>
          <rPr>
            <b/>
            <sz val="9"/>
            <color indexed="81"/>
            <rFont val="Tahoma"/>
            <family val="2"/>
          </rPr>
          <t>PAGO 1 DE 2. DEUDA DE $500 PESOS POR PERDIDA DE TAPA</t>
        </r>
      </text>
    </comment>
    <comment ref="P36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FALTANTE CAJA CHICA  PERDIDA DE TAPON DE RIN </t>
        </r>
      </text>
    </comment>
    <comment ref="N37" authorId="1" shapeId="0">
      <text>
        <r>
          <rPr>
            <b/>
            <sz val="9"/>
            <color indexed="81"/>
            <rFont val="Tahoma"/>
            <family val="2"/>
          </rPr>
          <t>PAGO 6/8. MONTO DEUDA $3,935.00
EN EL SYTEX SE APLICA PAGO DE $250.00 CADA QUINCENA.</t>
        </r>
      </text>
    </comment>
    <comment ref="O37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6 DE MARZO 8:32</t>
        </r>
      </text>
    </comment>
    <comment ref="N38" authorId="2" shapeId="0">
      <text>
        <r>
          <rPr>
            <b/>
            <sz val="9"/>
            <color indexed="81"/>
            <rFont val="Tahoma"/>
            <family val="2"/>
          </rPr>
          <t>PAGO POR DIFERENCIA DE INVENTARIO DE LLANTA DEL DIA 14 DE FEBRERO</t>
        </r>
      </text>
    </comment>
    <comment ref="K39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FALTA 23</t>
        </r>
      </text>
    </comment>
    <comment ref="O40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8 DE MARZO 8:32</t>
        </r>
      </text>
    </comment>
    <comment ref="K41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LUNES 4 </t>
        </r>
      </text>
    </comment>
    <comment ref="J42" authorId="2" shapeId="0">
      <text>
        <r>
          <rPr>
            <b/>
            <sz val="9"/>
            <color indexed="81"/>
            <rFont val="Tahoma"/>
            <family val="2"/>
          </rPr>
          <t>INGRESA NUEVAMENTE EL 10 DE MARZO</t>
        </r>
      </text>
    </comment>
    <comment ref="N43" authorId="1" shapeId="0">
      <text>
        <r>
          <rPr>
            <b/>
            <sz val="9"/>
            <color indexed="81"/>
            <rFont val="Tahoma"/>
            <family val="2"/>
          </rPr>
          <t>Deuda saldada y se le descuentan 1000 pesos de sus comisiones- restando 4500</t>
        </r>
      </text>
    </comment>
    <comment ref="N44" authorId="2" shapeId="0">
      <text>
        <r>
          <rPr>
            <b/>
            <sz val="9"/>
            <color indexed="81"/>
            <rFont val="Tahoma"/>
            <family val="2"/>
          </rPr>
          <t>PAGO DE LLANTA PERDIDA</t>
        </r>
      </text>
    </comment>
    <comment ref="P44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REALIZAR MAL EL PEDIDO </t>
        </r>
      </text>
    </comment>
    <comment ref="I45" authorId="2" shapeId="0">
      <text>
        <r>
          <rPr>
            <b/>
            <sz val="9"/>
            <color indexed="81"/>
            <rFont val="Tahoma"/>
            <family val="2"/>
          </rPr>
          <t>INCREMENTAR A 3500 A PARTIR DE 15 DE MARZO</t>
        </r>
      </text>
    </comment>
    <comment ref="N46" authorId="1" shapeId="0">
      <text>
        <r>
          <rPr>
            <b/>
            <sz val="9"/>
            <color indexed="81"/>
            <rFont val="Tahoma"/>
            <family val="2"/>
          </rPr>
          <t>MATRIX:
PAGO 26/36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6" authorId="1" shapeId="0">
      <text>
        <r>
          <rPr>
            <b/>
            <sz val="9"/>
            <color indexed="81"/>
            <rFont val="Tahoma"/>
            <family val="2"/>
          </rPr>
          <t>ERROR DE COBRO EN LA FORMA DE PAGO.</t>
        </r>
      </text>
    </comment>
    <comment ref="J49" authorId="2" shapeId="0">
      <text>
        <r>
          <rPr>
            <b/>
            <sz val="9"/>
            <color indexed="81"/>
            <rFont val="Tahoma"/>
            <family val="2"/>
          </rPr>
          <t>INGRESO EL SABADO 09 DE MARZO</t>
        </r>
      </text>
    </comment>
    <comment ref="N58" authorId="2" shapeId="0">
      <text>
        <r>
          <rPr>
            <b/>
            <sz val="9"/>
            <color indexed="81"/>
            <rFont val="Tahoma"/>
            <family val="2"/>
          </rPr>
          <t xml:space="preserve">ABONO 7 DE 20 DE PRESTAMO DE 10 MIL PESOS $300 COMPRA EQUIPO MOVIL </t>
        </r>
      </text>
    </comment>
    <comment ref="O59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VIERNES 1 8:01 5- 8:12 6- 8:30 7-8:01 8 - 8:07</t>
        </r>
      </text>
    </comment>
    <comment ref="P59" authorId="1" shapeId="0">
      <text>
        <r>
          <rPr>
            <b/>
            <sz val="9"/>
            <color indexed="81"/>
            <rFont val="Tahoma"/>
            <family val="2"/>
          </rPr>
          <t xml:space="preserve">INVENTARIO 8,11 DE MARZO </t>
        </r>
      </text>
    </comment>
    <comment ref="P61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INVENTARIOS 4, 6 DE MARZO</t>
        </r>
      </text>
    </comment>
    <comment ref="O63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11 MARZO 8:38</t>
        </r>
      </text>
    </comment>
    <comment ref="J65" authorId="2" shapeId="0">
      <text>
        <r>
          <rPr>
            <b/>
            <sz val="9"/>
            <color indexed="81"/>
            <rFont val="Tahoma"/>
            <family val="2"/>
          </rPr>
          <t>INGRESO EL LUNES 04 DE MARZO</t>
        </r>
      </text>
    </comment>
    <comment ref="J66" authorId="2" shapeId="0">
      <text>
        <r>
          <rPr>
            <b/>
            <sz val="9"/>
            <color indexed="81"/>
            <rFont val="Tahoma"/>
            <family val="2"/>
          </rPr>
          <t>INGRESO EL SABADO 09 DE MARZO</t>
        </r>
      </text>
    </comment>
    <comment ref="N67" authorId="2" shapeId="0">
      <text>
        <r>
          <rPr>
            <b/>
            <sz val="9"/>
            <color indexed="81"/>
            <rFont val="Tahoma"/>
            <family val="2"/>
          </rPr>
          <t xml:space="preserve">PAGO 2 DE 10 DE $500.00 POR LLELGAR TOMADO-
PAGO CONDONADO POR $400 PESOS AUTORIZADO POR RAUL </t>
        </r>
      </text>
    </comment>
    <comment ref="J72" authorId="2" shapeId="0">
      <text>
        <r>
          <rPr>
            <b/>
            <sz val="9"/>
            <color indexed="81"/>
            <rFont val="Tahoma"/>
            <family val="2"/>
          </rPr>
          <t>INGRESO EL 05 DE MARZO</t>
        </r>
      </text>
    </comment>
    <comment ref="P73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CANCELACION DE FACTURA </t>
        </r>
      </text>
    </comment>
    <comment ref="P79" authorId="3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 JUEVES 7 MARZO</t>
        </r>
      </text>
    </comment>
    <comment ref="N82" authorId="3" shapeId="0">
      <text>
        <r>
          <rPr>
            <b/>
            <sz val="9"/>
            <color indexed="81"/>
            <rFont val="Tahoma"/>
            <family val="2"/>
          </rPr>
          <t>MATRIX: PRESTAMO $5,000</t>
        </r>
        <r>
          <rPr>
            <sz val="9"/>
            <color indexed="81"/>
            <rFont val="Tahoma"/>
            <family val="2"/>
          </rPr>
          <t xml:space="preserve">
PAGO 1 DE 5 </t>
        </r>
      </text>
    </comment>
  </commentList>
</comments>
</file>

<file path=xl/comments6.xml><?xml version="1.0" encoding="utf-8"?>
<comments xmlns="http://schemas.openxmlformats.org/spreadsheetml/2006/main">
  <authors>
    <author>Usuario de Windows</author>
    <author>SCG</author>
    <author>MATRIX</author>
  </authors>
  <commentList>
    <comment ref="N14" authorId="0" shapeId="0">
      <text>
        <r>
          <rPr>
            <b/>
            <sz val="9"/>
            <color indexed="81"/>
            <rFont val="Tahoma"/>
            <family val="2"/>
          </rPr>
          <t>Descuento de Factura 82INT.
Resta $2,500.00
Resta Factura 90INT por $1,595.00</t>
        </r>
        <r>
          <rPr>
            <sz val="9"/>
            <color indexed="81"/>
            <rFont val="Tahoma"/>
            <family val="2"/>
          </rPr>
          <t xml:space="preserve">
SE DESCUENTA $1000 PESOS HASTA TERMINAR DEUDA</t>
        </r>
      </text>
    </comment>
    <comment ref="J16" authorId="1" shapeId="0">
      <text>
        <r>
          <rPr>
            <b/>
            <sz val="9"/>
            <color indexed="81"/>
            <rFont val="Tahoma"/>
            <family val="2"/>
          </rPr>
          <t>INGRESO- 05 DE MARZO</t>
        </r>
      </text>
    </comment>
    <comment ref="J21" authorId="1" shapeId="0">
      <text>
        <r>
          <rPr>
            <b/>
            <sz val="9"/>
            <color indexed="81"/>
            <rFont val="Tahoma"/>
            <family val="2"/>
          </rPr>
          <t>REINGRESO EL LUNES 11 DE MARZO</t>
        </r>
      </text>
    </comment>
    <comment ref="O28" authorId="1" shapeId="0">
      <text>
        <r>
          <rPr>
            <b/>
            <sz val="9"/>
            <color indexed="81"/>
            <rFont val="Tahoma"/>
            <family val="2"/>
          </rPr>
          <t>dia 5 8:05, dia 6 8:01 dia 8 8:09, dia 11 8:07</t>
        </r>
      </text>
    </comment>
    <comment ref="J30" authorId="1" shapeId="0">
      <text>
        <r>
          <rPr>
            <b/>
            <sz val="9"/>
            <color indexed="81"/>
            <rFont val="Tahoma"/>
            <family val="2"/>
          </rPr>
          <t>INGRESO EL VIERNES 08 DE MARZO</t>
        </r>
      </text>
    </comment>
    <comment ref="P32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 ALEATORIO MASRTES 5 </t>
        </r>
      </text>
    </comment>
    <comment ref="J33" authorId="1" shapeId="0">
      <text>
        <r>
          <rPr>
            <b/>
            <sz val="9"/>
            <color indexed="81"/>
            <rFont val="Tahoma"/>
            <family val="2"/>
          </rPr>
          <t>INGRESO 05 DE MARZO</t>
        </r>
      </text>
    </comment>
    <comment ref="P34" authorId="1" shapeId="0">
      <text>
        <r>
          <rPr>
            <b/>
            <sz val="9"/>
            <color indexed="81"/>
            <rFont val="Tahoma"/>
            <family val="2"/>
          </rPr>
          <t>PAGO 1 DE 2. DEUDA DE $500 PESOS POR PERDIDA DE TAPA</t>
        </r>
      </text>
    </comment>
    <comment ref="P36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FALTANTE CAJA CHICA  PERDIDA DE TAPON DE RIN </t>
        </r>
      </text>
    </comment>
    <comment ref="N37" authorId="0" shapeId="0">
      <text>
        <r>
          <rPr>
            <b/>
            <sz val="9"/>
            <color indexed="81"/>
            <rFont val="Tahoma"/>
            <family val="2"/>
          </rPr>
          <t>PAGO 6/8. MONTO DEUDA $3,935.00
EN EL SYTEX SE APLICA PAGO DE $250.00 CADA QUINCENA.</t>
        </r>
      </text>
    </comment>
    <comment ref="O37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6 DE MARZO 8:32</t>
        </r>
      </text>
    </comment>
    <comment ref="N38" authorId="1" shapeId="0">
      <text>
        <r>
          <rPr>
            <b/>
            <sz val="9"/>
            <color indexed="81"/>
            <rFont val="Tahoma"/>
            <family val="2"/>
          </rPr>
          <t>PAGO POR DIFERENCIA DE INVENTARIO DE LLANTA DEL DIA 14 DE FEBRERO</t>
        </r>
      </text>
    </comment>
    <comment ref="K39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FALTA 23</t>
        </r>
      </text>
    </comment>
    <comment ref="O40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8 DE MARZO 8:32</t>
        </r>
      </text>
    </comment>
    <comment ref="K41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LUNES 4 </t>
        </r>
      </text>
    </comment>
    <comment ref="J42" authorId="1" shapeId="0">
      <text>
        <r>
          <rPr>
            <b/>
            <sz val="9"/>
            <color indexed="81"/>
            <rFont val="Tahoma"/>
            <family val="2"/>
          </rPr>
          <t>INGRESA NUEVAMENTE EL 10 DE MARZO</t>
        </r>
      </text>
    </comment>
    <comment ref="N43" authorId="0" shapeId="0">
      <text>
        <r>
          <rPr>
            <b/>
            <sz val="9"/>
            <color indexed="81"/>
            <rFont val="Tahoma"/>
            <family val="2"/>
          </rPr>
          <t>Deuda saldada y se le descuentan 1000 pesos de sus comisiones- restando 4500</t>
        </r>
      </text>
    </comment>
    <comment ref="N44" authorId="1" shapeId="0">
      <text>
        <r>
          <rPr>
            <b/>
            <sz val="9"/>
            <color indexed="81"/>
            <rFont val="Tahoma"/>
            <family val="2"/>
          </rPr>
          <t>PAGO DE LLANTA PERDIDA</t>
        </r>
      </text>
    </comment>
    <comment ref="P44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REALIZAR MAL EL PEDIDO </t>
        </r>
      </text>
    </comment>
    <comment ref="I45" authorId="1" shapeId="0">
      <text>
        <r>
          <rPr>
            <b/>
            <sz val="9"/>
            <color indexed="81"/>
            <rFont val="Tahoma"/>
            <family val="2"/>
          </rPr>
          <t>INCREMENTAR A 3500 A PARTIR DE 15 DE MARZO</t>
        </r>
      </text>
    </comment>
    <comment ref="N46" authorId="0" shapeId="0">
      <text>
        <r>
          <rPr>
            <b/>
            <sz val="9"/>
            <color indexed="81"/>
            <rFont val="Tahoma"/>
            <family val="2"/>
          </rPr>
          <t>MATRIX:
PAGO 26/36 FINANCIAMIENTO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6" authorId="0" shapeId="0">
      <text>
        <r>
          <rPr>
            <b/>
            <sz val="9"/>
            <color indexed="81"/>
            <rFont val="Tahoma"/>
            <family val="2"/>
          </rPr>
          <t>ERROR DE COBRO EN LA FORMA DE PAGO.</t>
        </r>
      </text>
    </comment>
    <comment ref="J49" authorId="1" shapeId="0">
      <text>
        <r>
          <rPr>
            <b/>
            <sz val="9"/>
            <color indexed="81"/>
            <rFont val="Tahoma"/>
            <family val="2"/>
          </rPr>
          <t>INGRESO EL SABADO 09 DE MARZO</t>
        </r>
      </text>
    </comment>
    <comment ref="N58" authorId="1" shapeId="0">
      <text>
        <r>
          <rPr>
            <b/>
            <sz val="9"/>
            <color indexed="81"/>
            <rFont val="Tahoma"/>
            <family val="2"/>
          </rPr>
          <t xml:space="preserve">ABONO 7 DE 20 DE PRESTAMO DE 10 MIL PESOS $300 COMPRA EQUIPO MOVIL </t>
        </r>
      </text>
    </comment>
    <comment ref="O59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VIERNES 1 8:01 5- 8:12 6- 8:30 7-8:01 8 - 8:07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</rPr>
          <t xml:space="preserve">INVENTARIO 8,11 DE MARZO </t>
        </r>
      </text>
    </comment>
    <comment ref="P61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INVENTARIOS 4, 6 DE MARZO</t>
        </r>
      </text>
    </comment>
    <comment ref="O63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11 MARZO 8:38</t>
        </r>
      </text>
    </comment>
    <comment ref="J65" authorId="1" shapeId="0">
      <text>
        <r>
          <rPr>
            <b/>
            <sz val="9"/>
            <color indexed="81"/>
            <rFont val="Tahoma"/>
            <family val="2"/>
          </rPr>
          <t>INGRESO EL LUNES 04 DE MARZO</t>
        </r>
      </text>
    </comment>
    <comment ref="J66" authorId="1" shapeId="0">
      <text>
        <r>
          <rPr>
            <b/>
            <sz val="9"/>
            <color indexed="81"/>
            <rFont val="Tahoma"/>
            <family val="2"/>
          </rPr>
          <t>INGRESO EL SABADO 09 DE MARZO</t>
        </r>
      </text>
    </comment>
    <comment ref="N67" authorId="1" shapeId="0">
      <text>
        <r>
          <rPr>
            <b/>
            <sz val="9"/>
            <color indexed="81"/>
            <rFont val="Tahoma"/>
            <family val="2"/>
          </rPr>
          <t xml:space="preserve">PAGO 2 DE 10 DE $500.00 POR LLELGAR TOMADO-
PAGO CONDONADO POR $400 PESOS AUTORIZADO POR RAUL </t>
        </r>
      </text>
    </comment>
    <comment ref="J72" authorId="1" shapeId="0">
      <text>
        <r>
          <rPr>
            <b/>
            <sz val="9"/>
            <color indexed="81"/>
            <rFont val="Tahoma"/>
            <family val="2"/>
          </rPr>
          <t>INGRESO EL 05 DE MARZO</t>
        </r>
      </text>
    </comment>
    <comment ref="P73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CANCELACION DE FACTURA </t>
        </r>
      </text>
    </comment>
    <comment ref="P79" authorId="2" shapeId="0">
      <text>
        <r>
          <rPr>
            <b/>
            <sz val="9"/>
            <color indexed="81"/>
            <rFont val="Tahoma"/>
            <family val="2"/>
          </rPr>
          <t>MATRIX:</t>
        </r>
        <r>
          <rPr>
            <sz val="9"/>
            <color indexed="81"/>
            <rFont val="Tahoma"/>
            <family val="2"/>
          </rPr>
          <t xml:space="preserve">
INVENTARIO JUEVES 7 MARZO</t>
        </r>
      </text>
    </comment>
    <comment ref="N82" authorId="2" shapeId="0">
      <text>
        <r>
          <rPr>
            <b/>
            <sz val="9"/>
            <color indexed="81"/>
            <rFont val="Tahoma"/>
            <family val="2"/>
          </rPr>
          <t>MATRIX: PRESTAMO $5,000</t>
        </r>
        <r>
          <rPr>
            <sz val="9"/>
            <color indexed="81"/>
            <rFont val="Tahoma"/>
            <family val="2"/>
          </rPr>
          <t xml:space="preserve">
PAGO 1 DE 5 </t>
        </r>
      </text>
    </comment>
  </commentList>
</comments>
</file>

<file path=xl/sharedStrings.xml><?xml version="1.0" encoding="utf-8"?>
<sst xmlns="http://schemas.openxmlformats.org/spreadsheetml/2006/main" count="1944" uniqueCount="285">
  <si>
    <t>"NO EXISTEN LOS PRETEXTOS, SI QUIERES HACER ALGO HAZLO O POR LO MENOS INTENTALO"</t>
  </si>
  <si>
    <t>ID</t>
  </si>
  <si>
    <t>Sucursal</t>
  </si>
  <si>
    <t>Departamento</t>
  </si>
  <si>
    <t>Puesto</t>
  </si>
  <si>
    <t>Nombre</t>
  </si>
  <si>
    <t>Sueldo Diario</t>
  </si>
  <si>
    <t>Sueldo Quincenal</t>
  </si>
  <si>
    <t>Días trabajados</t>
  </si>
  <si>
    <t>Faltas</t>
  </si>
  <si>
    <t>Pago de deuda interna</t>
  </si>
  <si>
    <t>Retardos</t>
  </si>
  <si>
    <t>Acciones correctivas</t>
  </si>
  <si>
    <t>Pago de uniformes</t>
  </si>
  <si>
    <t>EFECTIVO</t>
  </si>
  <si>
    <t>TARJETA</t>
  </si>
  <si>
    <t>TOTAL</t>
  </si>
  <si>
    <t>TOTALES POR SUCURSAL</t>
  </si>
  <si>
    <t>FIRMA</t>
  </si>
  <si>
    <t>CORPORATIVO</t>
  </si>
  <si>
    <t>ADMINISTRACION</t>
  </si>
  <si>
    <t>DIRECTOR GENERAL</t>
  </si>
  <si>
    <t>RAUL LEON LIMON</t>
  </si>
  <si>
    <t>DIRECTORA DE FINANZAS</t>
  </si>
  <si>
    <t>LUISA MARIA RUIZ VARGAS</t>
  </si>
  <si>
    <t>GERENTE COMERCIAL</t>
  </si>
  <si>
    <t>CARLOS BESAREZ VAZQUEZ</t>
  </si>
  <si>
    <t>AUX ADMINISTRATIVO</t>
  </si>
  <si>
    <t>GUADALUPE ELIZABETH CRUZ ROBLES</t>
  </si>
  <si>
    <t>JESSICA CRISTIAN BAUTISTA GONZÁLEZ</t>
  </si>
  <si>
    <t>COMPRAS</t>
  </si>
  <si>
    <t>LUIS ALBERTO LOPEZ HERNANDEZ</t>
  </si>
  <si>
    <t>SISTEMAS</t>
  </si>
  <si>
    <t>DESARROLLO</t>
  </si>
  <si>
    <t>CARLOS ALBERTO CULEBRO ESQUINCA</t>
  </si>
  <si>
    <t>GERENTE</t>
  </si>
  <si>
    <t>SERGIO DE JESUS ESTRADA AVELAR</t>
  </si>
  <si>
    <t>SOPORTE OPERATIVO</t>
  </si>
  <si>
    <t>LUIS ALFREDO MENDEZ SANCHEZ</t>
  </si>
  <si>
    <t>VILLAFLORES</t>
  </si>
  <si>
    <t>VENTAS</t>
  </si>
  <si>
    <t>INSTALADOR</t>
  </si>
  <si>
    <t>FRANCISCO ARCOS ALVARO</t>
  </si>
  <si>
    <t>ENCARGADA</t>
  </si>
  <si>
    <t>NELVY SELENE FONSECA LEÓN</t>
  </si>
  <si>
    <t>PALMERAS</t>
  </si>
  <si>
    <t>ENCARGADO</t>
  </si>
  <si>
    <t>MANUEL DE JESÚS LÓPEZ SÁNCHEZ</t>
  </si>
  <si>
    <t>ALINEADOR</t>
  </si>
  <si>
    <t>JOSUE VAZQUEZ JIMENEZ</t>
  </si>
  <si>
    <t>CAJA</t>
  </si>
  <si>
    <t>CAJERA</t>
  </si>
  <si>
    <t xml:space="preserve">DIANA ALICIA RESENDIZ HERRERA </t>
  </si>
  <si>
    <t>ARBEY DE JESUS RAMIREZ ESPINOSA</t>
  </si>
  <si>
    <t>LLANTERA 9A</t>
  </si>
  <si>
    <t>MARISOL NARCIA PEREZ</t>
  </si>
  <si>
    <t xml:space="preserve">LLANTERA 9A. </t>
  </si>
  <si>
    <t>JONATHAN FRANCISCO TREJO VAZQUEZ</t>
  </si>
  <si>
    <t>NICOLÁS GÓMEZ PÉREZ</t>
  </si>
  <si>
    <t>LLANTERA 5A</t>
  </si>
  <si>
    <t xml:space="preserve">ENCARGADA </t>
  </si>
  <si>
    <t>GLADYS JANETH PEREZ PEREZ</t>
  </si>
  <si>
    <t>JOSE FRANCISCO ALBORES MARTINEZ</t>
  </si>
  <si>
    <t>JOSE MIGUEL GOMEZ PEREZ</t>
  </si>
  <si>
    <t>LEON 5TA</t>
  </si>
  <si>
    <t>REPARTO</t>
  </si>
  <si>
    <t>CHOFER</t>
  </si>
  <si>
    <t>JESUS NOE SOLIS JIMENEZ</t>
  </si>
  <si>
    <t>JESUS OSWALDO HERNANDEZ RAMIREZ</t>
  </si>
  <si>
    <t xml:space="preserve">LEON 5TA. </t>
  </si>
  <si>
    <t>REPRESENTANTE DE VENTAS</t>
  </si>
  <si>
    <t>SILVANA LEON GONZALEZ</t>
  </si>
  <si>
    <t>LIB. SUR</t>
  </si>
  <si>
    <t>LEONARDO DANIEL CRUZ CASTILLEJOS</t>
  </si>
  <si>
    <t xml:space="preserve">VENDEDOR </t>
  </si>
  <si>
    <t>LUIS SERGIO RAMIREZ HERNANDEZ</t>
  </si>
  <si>
    <t>BRAULIO EDUARDO GOMEZ ZAMBRANO</t>
  </si>
  <si>
    <t>SALOMON DAVID CEDEÑO FLAMERICH</t>
  </si>
  <si>
    <t>BEILER ENRIQUE REYES HERNANDEZ</t>
  </si>
  <si>
    <t>ALMACEN</t>
  </si>
  <si>
    <t>VELADOR</t>
  </si>
  <si>
    <t>JESUS HERNANDEZ PEREZ</t>
  </si>
  <si>
    <t>ALMACEN MATRIZ</t>
  </si>
  <si>
    <t>AUXILIAR ACCESORIOS</t>
  </si>
  <si>
    <t>EDMER STEVE RIVERA MORENO</t>
  </si>
  <si>
    <t>AUXILIAR ALMACEN</t>
  </si>
  <si>
    <t>SERGIO ENRIQUE OJEDA TORRES</t>
  </si>
  <si>
    <t>PEDRO DE JESUS NATAREN MORENO</t>
  </si>
  <si>
    <t>MATRIZ</t>
  </si>
  <si>
    <t>CAJERO</t>
  </si>
  <si>
    <t>ASESOR</t>
  </si>
  <si>
    <t>LUIS ALBERTO DELFIN GARCIA</t>
  </si>
  <si>
    <t>GILBERTO BURGUETE SANCHEZ</t>
  </si>
  <si>
    <t>EDUARDO DE JESÚS HERNÁNDEZ GUTIÉRREZ</t>
  </si>
  <si>
    <t xml:space="preserve">INSTALADOR </t>
  </si>
  <si>
    <t xml:space="preserve">LUIS ANDRES DEL VILLAR GARCIA </t>
  </si>
  <si>
    <t>MARCO ANTONIO JUÁREZ GÓMEZ</t>
  </si>
  <si>
    <t>LEON 9A</t>
  </si>
  <si>
    <t>ALEJANDRA VALENCIA JIMENEZ</t>
  </si>
  <si>
    <t>RUBEN ALEJANDRO RIOS VELAZQUEZ</t>
  </si>
  <si>
    <t>LAURELES</t>
  </si>
  <si>
    <t xml:space="preserve">ALINEADOR Y VENDEDOR </t>
  </si>
  <si>
    <t>DAVID SANTIZ LOPEZ</t>
  </si>
  <si>
    <t xml:space="preserve">LAURELES </t>
  </si>
  <si>
    <t>YURITZI YASMIN GRAJALES MENDEZ</t>
  </si>
  <si>
    <t>IRVIN YONEY RAMIREZ ESPINOSA</t>
  </si>
  <si>
    <t>EDEL REGINO GARCIA MAZARIEGOS</t>
  </si>
  <si>
    <t xml:space="preserve">ALMACEN LAURELES </t>
  </si>
  <si>
    <t>JEFE DE ALMACEN</t>
  </si>
  <si>
    <t xml:space="preserve">LUIS MIGUEL AVENDAÑO OVANDO </t>
  </si>
  <si>
    <t>LORENZO JOEL SÁNCHEZ GALICIA</t>
  </si>
  <si>
    <t>EDGAR EULISES INDILÍ HERNÁNDEZ</t>
  </si>
  <si>
    <t>JUAN AUDELI ELIAS GARCIA</t>
  </si>
  <si>
    <t>TOTALES</t>
  </si>
  <si>
    <t>ANA KAREN VELAZQUEZ COELLO</t>
  </si>
  <si>
    <t>MARCOS ALEXIS SANCHEZ RODRIGUEZ</t>
  </si>
  <si>
    <t>CAROLINA CRUZ CIGARROA</t>
  </si>
  <si>
    <t xml:space="preserve">VICTOR DIONICIO PEREZ CABALLERO </t>
  </si>
  <si>
    <t>DAIREL MENDOZA PEREZ</t>
  </si>
  <si>
    <t>GEOVANNY DANIEL LOPEZ GUILLEN</t>
  </si>
  <si>
    <t>NÓMINA PRIMERA QUINCENA DE ENERO 2019</t>
  </si>
  <si>
    <t>VIGILANCIA</t>
  </si>
  <si>
    <t>RIGOBERTO LOPEZ PEREZ</t>
  </si>
  <si>
    <t>EDGAR ARRIAGA GARCIA</t>
  </si>
  <si>
    <t>OMAR ARTURO MARTINEZ MARROQUIN</t>
  </si>
  <si>
    <t>ERICK ABENAMAR GARCIA FONSECA</t>
  </si>
  <si>
    <t>ARMANDO CAMACHO OZUNA</t>
  </si>
  <si>
    <t>OMAR EZEQUIEL TREJO SANCHEZ</t>
  </si>
  <si>
    <t>NÓMINA SEGUNDA QUINCENA DE ENERO 2019</t>
  </si>
  <si>
    <t>CRISTIAN RODRIGUEZ ARMAS</t>
  </si>
  <si>
    <t>ROGELIO ARMANDO DOMINGUEZ VIDAL</t>
  </si>
  <si>
    <t>HORACIO MANUEL LOPEZ VALLES</t>
  </si>
  <si>
    <t>ROGER ANDRES DOMINGUEZ CRUZ</t>
  </si>
  <si>
    <t>JORGE ORBELIN ALBORES GARCIA</t>
  </si>
  <si>
    <t>NÓMINA PRIMERA QUINCENA DE FEBRERO 2019</t>
  </si>
  <si>
    <t>FRANKLIN RODELI AGUILAR PÉREZ</t>
  </si>
  <si>
    <t>HERAY RUIZ CASTRO</t>
  </si>
  <si>
    <t>PAOLA SHAZEL ARCE MARÍN</t>
  </si>
  <si>
    <t>DANTE LEON GONZALEZ</t>
  </si>
  <si>
    <t>VICTOR MANUEL PINTO CASTILLEJOS</t>
  </si>
  <si>
    <t>Salario Quincenal</t>
  </si>
  <si>
    <t>Salario Mensual</t>
  </si>
  <si>
    <r>
      <t>JUAN AUDELI ELIAS GARCIA (</t>
    </r>
    <r>
      <rPr>
        <sz val="11"/>
        <color rgb="FFFF0000"/>
        <rFont val="Calibri"/>
        <family val="2"/>
        <scheme val="minor"/>
      </rPr>
      <t>cambiar sede)</t>
    </r>
  </si>
  <si>
    <r>
      <t xml:space="preserve">DAIREL MENDOZA PEREZ </t>
    </r>
    <r>
      <rPr>
        <sz val="11"/>
        <color rgb="FFFF0000"/>
        <rFont val="Calibri"/>
        <family val="2"/>
        <scheme val="minor"/>
      </rPr>
      <t>(homologar sueldo)</t>
    </r>
  </si>
  <si>
    <t>DEDUCCIONES</t>
  </si>
  <si>
    <t>NOMINA</t>
  </si>
  <si>
    <t>+</t>
  </si>
  <si>
    <t>-</t>
  </si>
  <si>
    <t>RUBEN ALEJANDRO RÍOS VÁZQUEZ</t>
  </si>
  <si>
    <t>MERCALTOS</t>
  </si>
  <si>
    <t>ALMACENISTA</t>
  </si>
  <si>
    <t>MONTAJE/VENDEDOR</t>
  </si>
  <si>
    <t>ALINEADOR/VENDEDOR</t>
  </si>
  <si>
    <t>SECRETARIA</t>
  </si>
  <si>
    <t>JOSE DE JESUS RAMOS DIAZ</t>
  </si>
  <si>
    <t>RANGEL GOMEZ TORRES</t>
  </si>
  <si>
    <t>JUAN MANUEL SANCHEZ MOD</t>
  </si>
  <si>
    <t>VICTOR HERNANDEZ GOMEZ</t>
  </si>
  <si>
    <t>LORENZO SANCHEZ GONZALEZ</t>
  </si>
  <si>
    <t>JESSICA MARLITH HERNANDEZ VELASOCO</t>
  </si>
  <si>
    <t>SAN RAMON</t>
  </si>
  <si>
    <t>VENDEDOR /ALINEADOR</t>
  </si>
  <si>
    <t>VENDEDORA/CAJERA</t>
  </si>
  <si>
    <t>JUAN MIGUEL MORALES SANCHEZ</t>
  </si>
  <si>
    <t>LUIS FERNANDO ALVAREZ SANCHEZ</t>
  </si>
  <si>
    <t>BENITO DE JESUS JUAREZ CRUZ</t>
  </si>
  <si>
    <t>JSOE FRANCISCO RUIZ ROMAN</t>
  </si>
  <si>
    <t>JUAN GOMEZ GOMEZ</t>
  </si>
  <si>
    <t>MATI GOMEZ PEREZ</t>
  </si>
  <si>
    <t>GERENTE DE ADMINISTRACIÓN</t>
  </si>
  <si>
    <t>JUAN CARLOS AGUILAR ANZA</t>
  </si>
  <si>
    <t>ANALISTA DE INGRESOS</t>
  </si>
  <si>
    <t>JORGE JOSÉ AGUILAR GUTIÉRREZ</t>
  </si>
  <si>
    <t>ANALISTA DE EGRESOS</t>
  </si>
  <si>
    <t>GERENTE DE COMPRAS</t>
  </si>
  <si>
    <t>GERENTE DE TI</t>
  </si>
  <si>
    <t>TI</t>
  </si>
  <si>
    <t>ANALISTA DE RECURSOS HUMANOS</t>
  </si>
  <si>
    <t>PRESIDENTE EJECUTIVO</t>
  </si>
  <si>
    <t>V.P. DE ADMINISTRACIÓN Y FINANZAS</t>
  </si>
  <si>
    <t>DIRECCIÓN ESTRATÉGICA</t>
  </si>
  <si>
    <t>GERENTE OPERATIVO</t>
  </si>
  <si>
    <t>COMMUNITY MANAGER</t>
  </si>
  <si>
    <t>MARCO ANTONIO NATAREN LOPEZ</t>
  </si>
  <si>
    <t>JESUS NOE SOLIS JIMENEZ- BAJA DIA 22</t>
  </si>
  <si>
    <t>JEFE DE SUCURSAL</t>
  </si>
  <si>
    <t>VENDEDOR</t>
  </si>
  <si>
    <t>OPERACIONES</t>
  </si>
  <si>
    <t>LEON VILLAFLORES</t>
  </si>
  <si>
    <t>GERENTE DE VENTAS</t>
  </si>
  <si>
    <t>Total general</t>
  </si>
  <si>
    <t>CENTRO DE COSTO</t>
  </si>
  <si>
    <t>NOMINA DEL 16 AL 28 DE FEBRERO</t>
  </si>
  <si>
    <t>JEFE DE ALMACEN COLISIÓN</t>
  </si>
  <si>
    <t>JESSICA MARLITH HERNANDEZ VELAZCO</t>
  </si>
  <si>
    <t>JOSE FRANCISCO RUIZ ROMAN</t>
  </si>
  <si>
    <t>JUAN MANUEL SANCHEZ MOO</t>
  </si>
  <si>
    <t>PATRICK ANDRÉS GRAJALES ZAMBRANO</t>
  </si>
  <si>
    <t>ANDRES ALEJANDRO ORTIZ GUILLEN</t>
  </si>
  <si>
    <t>AUXILIAR DE LLANTAS Y ACCESORIOS</t>
  </si>
  <si>
    <t>JEFE DE RINES</t>
  </si>
  <si>
    <t>JONATHAN SANCHES MENDEZ</t>
  </si>
  <si>
    <t>NOMINA 1 AL 15 DE FEBRERO</t>
  </si>
  <si>
    <t>DIFERENCIA</t>
  </si>
  <si>
    <t>SILVIA GABRIELA SELAYA GUZMAN</t>
  </si>
  <si>
    <t>NÓMINA SEGUNDA QUINCENA DE FEBRERO 2019</t>
  </si>
  <si>
    <t>NOMINA ESTIMADA</t>
  </si>
  <si>
    <t>NOMINA REAL</t>
  </si>
  <si>
    <t>TOTALES SIN DEDUCCIONES</t>
  </si>
  <si>
    <t>ORLANDO LEON GONZALEZ - BAJA DIA 23</t>
  </si>
  <si>
    <t>Etiquetas de fila</t>
  </si>
  <si>
    <t>DEUDA INTERNA</t>
  </si>
  <si>
    <t xml:space="preserve">RETARDOS </t>
  </si>
  <si>
    <t>UNIFORMES</t>
  </si>
  <si>
    <t xml:space="preserve">TABLA DE DEDUCCIONES </t>
  </si>
  <si>
    <t>AC.CORR.</t>
  </si>
  <si>
    <t>JEFE DE SUCURSAL- BAJA 02-03-19</t>
  </si>
  <si>
    <t xml:space="preserve"> FIRMA DE CONTRATO ACTUAL</t>
  </si>
  <si>
    <t xml:space="preserve">POLITICAS </t>
  </si>
  <si>
    <t>REGLAMENTO</t>
  </si>
  <si>
    <t>CURP</t>
  </si>
  <si>
    <t>RFC</t>
  </si>
  <si>
    <t>INE</t>
  </si>
  <si>
    <t>COMPROBAMTE DE DOMICILIO</t>
  </si>
  <si>
    <t>LICENCIA DE MANEJO</t>
  </si>
  <si>
    <t xml:space="preserve">SOLICITUD DE EMPLEO </t>
  </si>
  <si>
    <t xml:space="preserve">CURRICULUM DE EMPLEO </t>
  </si>
  <si>
    <t xml:space="preserve">CARTA DE CONFIDENCIALIDAD </t>
  </si>
  <si>
    <t>ACTA DE NACIMENTO</t>
  </si>
  <si>
    <t xml:space="preserve">CERTIFICADO DE ESTUDIOS </t>
  </si>
  <si>
    <t>ESTUDIO SOCIOECONOMICO</t>
  </si>
  <si>
    <t>FORMATO DE SEGURO SOCIAL</t>
  </si>
  <si>
    <t>CEDULA DE ALTA NUEVO INGRESO</t>
  </si>
  <si>
    <t>CARTA DE RECOMENDACIÓN</t>
  </si>
  <si>
    <t>RESGUARDO DE HERRAMIENTAS</t>
  </si>
  <si>
    <t>AVANCE</t>
  </si>
  <si>
    <t>NÓMINA PRIMERA QUINCENA DE MARZO 2019</t>
  </si>
  <si>
    <t>HECTOR ESCOBAR FUENTES</t>
  </si>
  <si>
    <t>MANTENIMIENTO</t>
  </si>
  <si>
    <t>JEFE DE MANTENIMIENTO</t>
  </si>
  <si>
    <t>SERGIO ALEXANDER HERNANDEZ PEREZ</t>
  </si>
  <si>
    <t>AUXILIAR DE MANTENIMIENTO</t>
  </si>
  <si>
    <t xml:space="preserve">NICTE YULISSA RODRIGUEZ MONTEJO </t>
  </si>
  <si>
    <t xml:space="preserve">LAURA LUCIA MARTINEZ ALFARO </t>
  </si>
  <si>
    <t xml:space="preserve">CAJERA </t>
  </si>
  <si>
    <t xml:space="preserve">VENTAS </t>
  </si>
  <si>
    <t xml:space="preserve">FLOR DE GABRIELA HERNANDEZ HERNANDEZ </t>
  </si>
  <si>
    <t xml:space="preserve">MANUEL ALEJANDRO HERNANDEZ DIAZ </t>
  </si>
  <si>
    <t xml:space="preserve">JORGE HENRRY MENDEZ VAZQUEZ </t>
  </si>
  <si>
    <t xml:space="preserve">ANTONIO DE JESUS AGUILAR DURANTE </t>
  </si>
  <si>
    <t xml:space="preserve">HORACIO JAVIER RUIZ RUIZ </t>
  </si>
  <si>
    <t>UNIDAD DE NEGOCIO</t>
  </si>
  <si>
    <t>1RA ENERO</t>
  </si>
  <si>
    <t>2DA ENERO</t>
  </si>
  <si>
    <t>1RA FEBRERO</t>
  </si>
  <si>
    <t>2DA FEBRERO</t>
  </si>
  <si>
    <t>1RA MARZO</t>
  </si>
  <si>
    <t>QUINCENA</t>
  </si>
  <si>
    <t>%</t>
  </si>
  <si>
    <t>1EN-1MARZ</t>
  </si>
  <si>
    <t>AC-CORR</t>
  </si>
  <si>
    <t>2DA DE FEB</t>
  </si>
  <si>
    <t>1RA MARZ</t>
  </si>
  <si>
    <t>DIF</t>
  </si>
  <si>
    <t>1RA QUINCENA DE MARZO</t>
  </si>
  <si>
    <t xml:space="preserve">JULIO CESAR OCAÑA HERNANDEZ </t>
  </si>
  <si>
    <t xml:space="preserve">Dia extra Domingo </t>
  </si>
  <si>
    <t xml:space="preserve">LIMPIEZA </t>
  </si>
  <si>
    <t xml:space="preserve">TERESA DE JESUS JIMENEZ FLORES </t>
  </si>
  <si>
    <t xml:space="preserve">Fecha de ingreso </t>
  </si>
  <si>
    <t>05 de Marzo de 2019</t>
  </si>
  <si>
    <t xml:space="preserve">11 de marzo de 2019 </t>
  </si>
  <si>
    <t>08 de Marzo de 2019</t>
  </si>
  <si>
    <t>09 de Marzo de 2019</t>
  </si>
  <si>
    <t>04 de Marzo de 2019</t>
  </si>
  <si>
    <t xml:space="preserve">CONTADOR EXTERNO </t>
  </si>
  <si>
    <t xml:space="preserve">RAMON RAMOS CRUZ </t>
  </si>
  <si>
    <t xml:space="preserve">PENDIENTE </t>
  </si>
  <si>
    <t xml:space="preserve">SAMUEL </t>
  </si>
  <si>
    <t>CINDY JENNIFER FLORES CASTRO</t>
  </si>
  <si>
    <t>ADRIAN ERNESTO KELLER</t>
  </si>
  <si>
    <t>HS EXTRAS</t>
  </si>
  <si>
    <t>SMG QNAL</t>
  </si>
  <si>
    <t>$HS. EXTRAS</t>
  </si>
  <si>
    <t xml:space="preserve">JORGE HENRY MENDEZ VAZQUEZ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</si>
</sst>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8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2" borderId="37" applyNumberFormat="0" applyFont="0" applyAlignment="0" applyProtection="0"/>
  </cellStyleXfs>
  <cellXfs count="40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43" fontId="0" fillId="3" borderId="3" xfId="1" applyFont="1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44" fontId="0" fillId="3" borderId="3" xfId="2" applyFont="1" applyFill="1" applyBorder="1" applyAlignment="1">
      <alignment horizontal="center" vertical="center"/>
    </xf>
    <xf numFmtId="44" fontId="1" fillId="3" borderId="3" xfId="2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43" fontId="0" fillId="3" borderId="6" xfId="1" applyFont="1" applyFill="1" applyBorder="1" applyAlignment="1">
      <alignment vertical="center"/>
    </xf>
    <xf numFmtId="0" fontId="0" fillId="3" borderId="6" xfId="0" applyFill="1" applyBorder="1" applyAlignment="1">
      <alignment horizontal="center" vertical="center"/>
    </xf>
    <xf numFmtId="44" fontId="0" fillId="3" borderId="6" xfId="2" applyFont="1" applyFill="1" applyBorder="1" applyAlignment="1">
      <alignment horizontal="center" vertical="center"/>
    </xf>
    <xf numFmtId="44" fontId="1" fillId="3" borderId="6" xfId="2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44" fontId="0" fillId="4" borderId="6" xfId="2" applyFont="1" applyFill="1" applyBorder="1" applyAlignment="1">
      <alignment horizontal="center" vertical="center"/>
    </xf>
    <xf numFmtId="43" fontId="3" fillId="3" borderId="6" xfId="1" applyFont="1" applyFill="1" applyBorder="1" applyAlignment="1">
      <alignment vertical="center"/>
    </xf>
    <xf numFmtId="44" fontId="0" fillId="0" borderId="6" xfId="2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43" fontId="0" fillId="3" borderId="9" xfId="1" applyFont="1" applyFill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44" fontId="0" fillId="3" borderId="9" xfId="2" applyFont="1" applyFill="1" applyBorder="1" applyAlignment="1">
      <alignment horizontal="center" vertical="center"/>
    </xf>
    <xf numFmtId="44" fontId="1" fillId="3" borderId="9" xfId="2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44" fontId="0" fillId="3" borderId="9" xfId="0" applyNumberFormat="1" applyFill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43" fontId="0" fillId="3" borderId="9" xfId="0" applyNumberFormat="1" applyFill="1" applyBorder="1" applyAlignment="1">
      <alignment vertical="center"/>
    </xf>
    <xf numFmtId="0" fontId="0" fillId="3" borderId="9" xfId="0" applyFill="1" applyBorder="1"/>
    <xf numFmtId="0" fontId="0" fillId="3" borderId="3" xfId="0" applyFill="1" applyBorder="1"/>
    <xf numFmtId="0" fontId="0" fillId="3" borderId="6" xfId="0" applyFill="1" applyBorder="1"/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43" fontId="0" fillId="3" borderId="12" xfId="1" applyFont="1" applyFill="1" applyBorder="1" applyAlignment="1">
      <alignment vertical="center"/>
    </xf>
    <xf numFmtId="0" fontId="0" fillId="3" borderId="12" xfId="0" applyFill="1" applyBorder="1" applyAlignment="1">
      <alignment horizontal="center" vertical="center"/>
    </xf>
    <xf numFmtId="44" fontId="0" fillId="3" borderId="12" xfId="2" applyFont="1" applyFill="1" applyBorder="1" applyAlignment="1">
      <alignment horizontal="center" vertical="center"/>
    </xf>
    <xf numFmtId="44" fontId="1" fillId="3" borderId="12" xfId="2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44" fontId="6" fillId="3" borderId="6" xfId="2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vertical="center"/>
    </xf>
    <xf numFmtId="44" fontId="7" fillId="3" borderId="6" xfId="2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vertical="center"/>
    </xf>
    <xf numFmtId="44" fontId="0" fillId="0" borderId="9" xfId="2" applyFont="1" applyFill="1" applyBorder="1" applyAlignment="1">
      <alignment horizontal="center" vertical="center"/>
    </xf>
    <xf numFmtId="44" fontId="8" fillId="3" borderId="16" xfId="0" applyNumberFormat="1" applyFont="1" applyFill="1" applyBorder="1" applyAlignment="1">
      <alignment vertical="center" wrapText="1"/>
    </xf>
    <xf numFmtId="0" fontId="8" fillId="3" borderId="17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44" fontId="0" fillId="0" borderId="0" xfId="2" applyFont="1"/>
    <xf numFmtId="164" fontId="0" fillId="0" borderId="0" xfId="2" applyNumberFormat="1" applyFont="1"/>
    <xf numFmtId="0" fontId="0" fillId="0" borderId="0" xfId="0" applyAlignment="1">
      <alignment horizontal="center"/>
    </xf>
    <xf numFmtId="44" fontId="0" fillId="0" borderId="0" xfId="2" applyFont="1" applyAlignment="1">
      <alignment horizontal="center"/>
    </xf>
    <xf numFmtId="43" fontId="0" fillId="0" borderId="0" xfId="1" applyFont="1"/>
    <xf numFmtId="44" fontId="0" fillId="4" borderId="3" xfId="2" applyFont="1" applyFill="1" applyBorder="1" applyAlignment="1">
      <alignment horizontal="center" vertical="center"/>
    </xf>
    <xf numFmtId="0" fontId="0" fillId="3" borderId="12" xfId="0" applyFill="1" applyBorder="1"/>
    <xf numFmtId="43" fontId="0" fillId="0" borderId="3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43" fontId="0" fillId="3" borderId="19" xfId="1" applyFont="1" applyFill="1" applyBorder="1" applyAlignment="1">
      <alignment vertical="center"/>
    </xf>
    <xf numFmtId="0" fontId="0" fillId="3" borderId="19" xfId="0" applyFill="1" applyBorder="1" applyAlignment="1">
      <alignment horizontal="center" vertical="center"/>
    </xf>
    <xf numFmtId="44" fontId="0" fillId="3" borderId="19" xfId="2" applyFont="1" applyFill="1" applyBorder="1" applyAlignment="1">
      <alignment horizontal="center" vertical="center"/>
    </xf>
    <xf numFmtId="43" fontId="3" fillId="3" borderId="19" xfId="1" applyFont="1" applyFill="1" applyBorder="1" applyAlignment="1">
      <alignment vertical="center"/>
    </xf>
    <xf numFmtId="44" fontId="1" fillId="3" borderId="19" xfId="2" applyFont="1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4" fontId="5" fillId="2" borderId="22" xfId="2" applyFont="1" applyFill="1" applyBorder="1" applyAlignment="1">
      <alignment horizontal="center" vertical="center" wrapText="1"/>
    </xf>
    <xf numFmtId="164" fontId="5" fillId="2" borderId="22" xfId="2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3" fontId="5" fillId="2" borderId="22" xfId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44" fontId="0" fillId="3" borderId="12" xfId="0" applyNumberFormat="1" applyFill="1" applyBorder="1" applyAlignment="1">
      <alignment vertical="center"/>
    </xf>
    <xf numFmtId="43" fontId="3" fillId="0" borderId="6" xfId="1" applyFont="1" applyFill="1" applyBorder="1" applyAlignment="1">
      <alignment vertical="center"/>
    </xf>
    <xf numFmtId="43" fontId="3" fillId="0" borderId="9" xfId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43" fontId="3" fillId="0" borderId="12" xfId="1" applyFont="1" applyFill="1" applyBorder="1" applyAlignment="1">
      <alignment vertical="center"/>
    </xf>
    <xf numFmtId="44" fontId="8" fillId="0" borderId="16" xfId="0" applyNumberFormat="1" applyFont="1" applyFill="1" applyBorder="1" applyAlignment="1">
      <alignment vertical="center" wrapText="1"/>
    </xf>
    <xf numFmtId="0" fontId="0" fillId="0" borderId="0" xfId="0"/>
    <xf numFmtId="0" fontId="0" fillId="3" borderId="25" xfId="0" applyFill="1" applyBorder="1" applyAlignment="1">
      <alignment vertical="center"/>
    </xf>
    <xf numFmtId="43" fontId="3" fillId="0" borderId="19" xfId="1" applyFont="1" applyFill="1" applyBorder="1" applyAlignment="1">
      <alignment vertical="center"/>
    </xf>
    <xf numFmtId="44" fontId="0" fillId="0" borderId="12" xfId="2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44" fontId="5" fillId="2" borderId="26" xfId="2" applyFont="1" applyFill="1" applyBorder="1" applyAlignment="1">
      <alignment horizontal="center" vertical="center" wrapText="1"/>
    </xf>
    <xf numFmtId="164" fontId="5" fillId="2" borderId="26" xfId="2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43" fontId="5" fillId="2" borderId="26" xfId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44" fontId="0" fillId="4" borderId="19" xfId="2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44" fontId="0" fillId="4" borderId="12" xfId="2" applyFont="1" applyFill="1" applyBorder="1" applyAlignment="1">
      <alignment horizontal="center" vertical="center"/>
    </xf>
    <xf numFmtId="43" fontId="0" fillId="3" borderId="12" xfId="0" applyNumberFormat="1" applyFill="1" applyBorder="1" applyAlignment="1">
      <alignment vertical="center"/>
    </xf>
    <xf numFmtId="44" fontId="8" fillId="3" borderId="31" xfId="0" applyNumberFormat="1" applyFont="1" applyFill="1" applyBorder="1" applyAlignment="1">
      <alignment vertical="center" wrapText="1"/>
    </xf>
    <xf numFmtId="44" fontId="8" fillId="0" borderId="31" xfId="0" applyNumberFormat="1" applyFont="1" applyFill="1" applyBorder="1" applyAlignment="1">
      <alignment vertical="center" wrapText="1"/>
    </xf>
    <xf numFmtId="0" fontId="8" fillId="3" borderId="32" xfId="0" applyFont="1" applyFill="1" applyBorder="1" applyAlignment="1">
      <alignment vertical="center" wrapText="1"/>
    </xf>
    <xf numFmtId="43" fontId="0" fillId="0" borderId="0" xfId="1" applyFont="1" applyFill="1"/>
    <xf numFmtId="44" fontId="0" fillId="0" borderId="19" xfId="2" applyFont="1" applyFill="1" applyBorder="1" applyAlignment="1">
      <alignment horizontal="center" vertical="center"/>
    </xf>
    <xf numFmtId="0" fontId="0" fillId="0" borderId="0" xfId="0"/>
    <xf numFmtId="44" fontId="0" fillId="4" borderId="9" xfId="2" applyFont="1" applyFill="1" applyBorder="1" applyAlignment="1">
      <alignment horizontal="center" vertical="center"/>
    </xf>
    <xf numFmtId="164" fontId="0" fillId="3" borderId="3" xfId="0" applyNumberForma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/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43" fontId="0" fillId="4" borderId="3" xfId="1" applyFont="1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43" fontId="3" fillId="4" borderId="3" xfId="1" applyFont="1" applyFill="1" applyBorder="1" applyAlignment="1">
      <alignment vertical="center"/>
    </xf>
    <xf numFmtId="44" fontId="1" fillId="4" borderId="3" xfId="2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0" fillId="4" borderId="6" xfId="1" applyFont="1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43" fontId="3" fillId="4" borderId="6" xfId="1" applyFont="1" applyFill="1" applyBorder="1" applyAlignment="1">
      <alignment vertical="center"/>
    </xf>
    <xf numFmtId="44" fontId="1" fillId="4" borderId="6" xfId="2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43" fontId="0" fillId="4" borderId="9" xfId="1" applyFont="1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43" fontId="3" fillId="4" borderId="9" xfId="1" applyFont="1" applyFill="1" applyBorder="1" applyAlignment="1">
      <alignment vertical="center"/>
    </xf>
    <xf numFmtId="44" fontId="1" fillId="4" borderId="9" xfId="2" applyFont="1" applyFill="1" applyBorder="1" applyAlignment="1">
      <alignment vertical="center"/>
    </xf>
    <xf numFmtId="44" fontId="0" fillId="4" borderId="9" xfId="0" applyNumberForma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43" fontId="0" fillId="5" borderId="3" xfId="1" applyFont="1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44" fontId="0" fillId="5" borderId="3" xfId="2" applyFont="1" applyFill="1" applyBorder="1" applyAlignment="1">
      <alignment horizontal="center" vertical="center"/>
    </xf>
    <xf numFmtId="43" fontId="3" fillId="5" borderId="3" xfId="1" applyFont="1" applyFill="1" applyBorder="1" applyAlignment="1">
      <alignment vertical="center"/>
    </xf>
    <xf numFmtId="44" fontId="1" fillId="5" borderId="3" xfId="2" applyFon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43" fontId="0" fillId="5" borderId="9" xfId="1" applyFont="1" applyFill="1" applyBorder="1" applyAlignment="1">
      <alignment vertical="center"/>
    </xf>
    <xf numFmtId="0" fontId="0" fillId="5" borderId="9" xfId="0" applyFill="1" applyBorder="1" applyAlignment="1">
      <alignment horizontal="center" vertical="center"/>
    </xf>
    <xf numFmtId="44" fontId="0" fillId="5" borderId="9" xfId="2" applyFont="1" applyFill="1" applyBorder="1" applyAlignment="1">
      <alignment horizontal="center" vertical="center"/>
    </xf>
    <xf numFmtId="43" fontId="3" fillId="5" borderId="9" xfId="1" applyFont="1" applyFill="1" applyBorder="1" applyAlignment="1">
      <alignment vertical="center"/>
    </xf>
    <xf numFmtId="44" fontId="1" fillId="5" borderId="9" xfId="2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43" fontId="0" fillId="6" borderId="3" xfId="1" applyFont="1" applyFill="1" applyBorder="1" applyAlignment="1">
      <alignment vertical="center"/>
    </xf>
    <xf numFmtId="0" fontId="0" fillId="6" borderId="3" xfId="0" applyFill="1" applyBorder="1" applyAlignment="1">
      <alignment horizontal="center" vertical="center"/>
    </xf>
    <xf numFmtId="44" fontId="0" fillId="6" borderId="3" xfId="2" applyFont="1" applyFill="1" applyBorder="1" applyAlignment="1">
      <alignment horizontal="center" vertical="center"/>
    </xf>
    <xf numFmtId="43" fontId="3" fillId="6" borderId="3" xfId="1" applyFont="1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43" fontId="0" fillId="6" borderId="6" xfId="1" applyFont="1" applyFill="1" applyBorder="1" applyAlignment="1">
      <alignment vertical="center"/>
    </xf>
    <xf numFmtId="0" fontId="0" fillId="6" borderId="6" xfId="0" applyFill="1" applyBorder="1" applyAlignment="1">
      <alignment horizontal="center" vertical="center"/>
    </xf>
    <xf numFmtId="44" fontId="0" fillId="6" borderId="6" xfId="2" applyFont="1" applyFill="1" applyBorder="1" applyAlignment="1">
      <alignment horizontal="center" vertical="center"/>
    </xf>
    <xf numFmtId="43" fontId="3" fillId="6" borderId="6" xfId="1" applyFont="1" applyFill="1" applyBorder="1" applyAlignment="1">
      <alignment vertical="center"/>
    </xf>
    <xf numFmtId="44" fontId="1" fillId="6" borderId="6" xfId="2" applyFont="1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43" fontId="0" fillId="6" borderId="9" xfId="1" applyFont="1" applyFill="1" applyBorder="1" applyAlignment="1">
      <alignment vertical="center"/>
    </xf>
    <xf numFmtId="0" fontId="0" fillId="6" borderId="9" xfId="0" applyFill="1" applyBorder="1" applyAlignment="1">
      <alignment horizontal="center" vertical="center"/>
    </xf>
    <xf numFmtId="44" fontId="0" fillId="6" borderId="9" xfId="2" applyFont="1" applyFill="1" applyBorder="1" applyAlignment="1">
      <alignment horizontal="center" vertical="center"/>
    </xf>
    <xf numFmtId="43" fontId="3" fillId="6" borderId="9" xfId="1" applyFont="1" applyFill="1" applyBorder="1" applyAlignment="1">
      <alignment vertical="center"/>
    </xf>
    <xf numFmtId="44" fontId="1" fillId="6" borderId="9" xfId="2" applyFont="1" applyFill="1" applyBorder="1" applyAlignment="1">
      <alignment vertical="center"/>
    </xf>
    <xf numFmtId="44" fontId="0" fillId="6" borderId="9" xfId="0" applyNumberFormat="1" applyFill="1" applyBorder="1" applyAlignment="1">
      <alignment vertical="center"/>
    </xf>
    <xf numFmtId="0" fontId="0" fillId="6" borderId="10" xfId="0" applyFill="1" applyBorder="1" applyAlignment="1">
      <alignment vertical="center"/>
    </xf>
    <xf numFmtId="164" fontId="0" fillId="5" borderId="9" xfId="0" applyNumberFormat="1" applyFill="1" applyBorder="1" applyAlignment="1">
      <alignment vertical="center"/>
    </xf>
    <xf numFmtId="44" fontId="6" fillId="4" borderId="6" xfId="2" applyFont="1" applyFill="1" applyBorder="1" applyAlignment="1">
      <alignment horizontal="center" vertical="center"/>
    </xf>
    <xf numFmtId="44" fontId="0" fillId="4" borderId="6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7" borderId="3" xfId="0" applyFill="1" applyBorder="1" applyAlignment="1">
      <alignment vertical="center"/>
    </xf>
    <xf numFmtId="43" fontId="0" fillId="7" borderId="3" xfId="1" applyFont="1" applyFill="1" applyBorder="1" applyAlignment="1">
      <alignment vertical="center"/>
    </xf>
    <xf numFmtId="0" fontId="0" fillId="7" borderId="3" xfId="0" applyFill="1" applyBorder="1" applyAlignment="1">
      <alignment horizontal="center" vertical="center"/>
    </xf>
    <xf numFmtId="44" fontId="0" fillId="7" borderId="3" xfId="2" applyFont="1" applyFill="1" applyBorder="1" applyAlignment="1">
      <alignment horizontal="center" vertical="center"/>
    </xf>
    <xf numFmtId="43" fontId="3" fillId="7" borderId="3" xfId="1" applyFont="1" applyFill="1" applyBorder="1" applyAlignment="1">
      <alignment vertical="center"/>
    </xf>
    <xf numFmtId="44" fontId="1" fillId="7" borderId="3" xfId="2" applyFon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5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43" fontId="0" fillId="7" borderId="6" xfId="1" applyFont="1" applyFill="1" applyBorder="1" applyAlignment="1">
      <alignment vertical="center"/>
    </xf>
    <xf numFmtId="0" fontId="0" fillId="7" borderId="6" xfId="0" applyFill="1" applyBorder="1" applyAlignment="1">
      <alignment horizontal="center" vertical="center"/>
    </xf>
    <xf numFmtId="44" fontId="0" fillId="7" borderId="6" xfId="2" applyFont="1" applyFill="1" applyBorder="1" applyAlignment="1">
      <alignment horizontal="center" vertical="center"/>
    </xf>
    <xf numFmtId="43" fontId="3" fillId="7" borderId="6" xfId="1" applyFont="1" applyFill="1" applyBorder="1" applyAlignment="1">
      <alignment vertical="center"/>
    </xf>
    <xf numFmtId="44" fontId="1" fillId="7" borderId="6" xfId="2" applyFont="1" applyFill="1" applyBorder="1" applyAlignment="1">
      <alignment vertical="center"/>
    </xf>
    <xf numFmtId="0" fontId="0" fillId="7" borderId="7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7" borderId="9" xfId="0" applyFill="1" applyBorder="1" applyAlignment="1">
      <alignment vertical="center"/>
    </xf>
    <xf numFmtId="43" fontId="0" fillId="7" borderId="9" xfId="1" applyFont="1" applyFill="1" applyBorder="1" applyAlignment="1">
      <alignment vertical="center"/>
    </xf>
    <xf numFmtId="0" fontId="0" fillId="7" borderId="9" xfId="0" applyFill="1" applyBorder="1" applyAlignment="1">
      <alignment horizontal="center" vertical="center"/>
    </xf>
    <xf numFmtId="44" fontId="0" fillId="7" borderId="9" xfId="2" applyFont="1" applyFill="1" applyBorder="1" applyAlignment="1">
      <alignment horizontal="center" vertical="center"/>
    </xf>
    <xf numFmtId="43" fontId="3" fillId="7" borderId="9" xfId="1" applyFont="1" applyFill="1" applyBorder="1" applyAlignment="1">
      <alignment vertical="center"/>
    </xf>
    <xf numFmtId="44" fontId="1" fillId="7" borderId="9" xfId="2" applyFont="1" applyFill="1" applyBorder="1" applyAlignment="1">
      <alignment vertical="center"/>
    </xf>
    <xf numFmtId="44" fontId="0" fillId="7" borderId="9" xfId="0" applyNumberFormat="1" applyFill="1" applyBorder="1" applyAlignment="1">
      <alignment vertical="center"/>
    </xf>
    <xf numFmtId="0" fontId="0" fillId="7" borderId="10" xfId="0" applyFill="1" applyBorder="1" applyAlignment="1">
      <alignment vertical="center"/>
    </xf>
    <xf numFmtId="0" fontId="0" fillId="8" borderId="2" xfId="0" applyFill="1" applyBorder="1" applyAlignment="1">
      <alignment vertical="center"/>
    </xf>
    <xf numFmtId="0" fontId="0" fillId="8" borderId="3" xfId="0" applyFill="1" applyBorder="1" applyAlignment="1">
      <alignment vertical="center"/>
    </xf>
    <xf numFmtId="43" fontId="0" fillId="8" borderId="3" xfId="1" applyFont="1" applyFill="1" applyBorder="1" applyAlignment="1">
      <alignment vertical="center"/>
    </xf>
    <xf numFmtId="0" fontId="0" fillId="8" borderId="3" xfId="0" applyFill="1" applyBorder="1" applyAlignment="1">
      <alignment horizontal="center" vertical="center"/>
    </xf>
    <xf numFmtId="44" fontId="0" fillId="8" borderId="3" xfId="2" applyFont="1" applyFill="1" applyBorder="1" applyAlignment="1">
      <alignment horizontal="center" vertical="center"/>
    </xf>
    <xf numFmtId="43" fontId="3" fillId="8" borderId="3" xfId="1" applyFont="1" applyFill="1" applyBorder="1" applyAlignment="1">
      <alignment vertical="center"/>
    </xf>
    <xf numFmtId="44" fontId="1" fillId="8" borderId="3" xfId="2" applyFont="1" applyFill="1" applyBorder="1" applyAlignment="1">
      <alignment vertical="center"/>
    </xf>
    <xf numFmtId="0" fontId="0" fillId="8" borderId="4" xfId="0" applyFill="1" applyBorder="1" applyAlignment="1">
      <alignment vertical="center"/>
    </xf>
    <xf numFmtId="0" fontId="0" fillId="8" borderId="0" xfId="0" applyFill="1" applyAlignment="1">
      <alignment vertical="center"/>
    </xf>
    <xf numFmtId="0" fontId="0" fillId="8" borderId="5" xfId="0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3" fontId="0" fillId="8" borderId="6" xfId="1" applyFont="1" applyFill="1" applyBorder="1" applyAlignment="1">
      <alignment vertical="center"/>
    </xf>
    <xf numFmtId="0" fontId="0" fillId="8" borderId="6" xfId="0" applyFill="1" applyBorder="1" applyAlignment="1">
      <alignment horizontal="center" vertical="center"/>
    </xf>
    <xf numFmtId="44" fontId="0" fillId="8" borderId="6" xfId="2" applyFont="1" applyFill="1" applyBorder="1" applyAlignment="1">
      <alignment horizontal="center" vertical="center"/>
    </xf>
    <xf numFmtId="43" fontId="3" fillId="8" borderId="6" xfId="1" applyFont="1" applyFill="1" applyBorder="1" applyAlignment="1">
      <alignment vertical="center"/>
    </xf>
    <xf numFmtId="44" fontId="1" fillId="8" borderId="6" xfId="2" applyFont="1" applyFill="1" applyBorder="1" applyAlignment="1">
      <alignment vertical="center"/>
    </xf>
    <xf numFmtId="0" fontId="0" fillId="8" borderId="7" xfId="0" applyFill="1" applyBorder="1" applyAlignment="1">
      <alignment vertical="center"/>
    </xf>
    <xf numFmtId="0" fontId="0" fillId="8" borderId="8" xfId="0" applyFill="1" applyBorder="1" applyAlignment="1">
      <alignment vertical="center"/>
    </xf>
    <xf numFmtId="0" fontId="0" fillId="8" borderId="9" xfId="0" applyFill="1" applyBorder="1" applyAlignment="1">
      <alignment vertical="center"/>
    </xf>
    <xf numFmtId="43" fontId="0" fillId="8" borderId="9" xfId="1" applyFont="1" applyFill="1" applyBorder="1" applyAlignment="1">
      <alignment vertical="center"/>
    </xf>
    <xf numFmtId="0" fontId="0" fillId="8" borderId="9" xfId="0" applyFill="1" applyBorder="1" applyAlignment="1">
      <alignment horizontal="center" vertical="center"/>
    </xf>
    <xf numFmtId="44" fontId="0" fillId="8" borderId="9" xfId="2" applyFont="1" applyFill="1" applyBorder="1" applyAlignment="1">
      <alignment horizontal="center" vertical="center"/>
    </xf>
    <xf numFmtId="43" fontId="3" fillId="8" borderId="9" xfId="1" applyFont="1" applyFill="1" applyBorder="1" applyAlignment="1">
      <alignment vertical="center"/>
    </xf>
    <xf numFmtId="44" fontId="1" fillId="8" borderId="9" xfId="2" applyFont="1" applyFill="1" applyBorder="1" applyAlignment="1">
      <alignment vertical="center"/>
    </xf>
    <xf numFmtId="44" fontId="0" fillId="8" borderId="9" xfId="0" applyNumberFormat="1" applyFill="1" applyBorder="1" applyAlignment="1">
      <alignment vertical="center"/>
    </xf>
    <xf numFmtId="0" fontId="0" fillId="8" borderId="10" xfId="0" applyFill="1" applyBorder="1" applyAlignment="1">
      <alignment vertical="center"/>
    </xf>
    <xf numFmtId="164" fontId="0" fillId="7" borderId="6" xfId="0" applyNumberForma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44" fontId="11" fillId="6" borderId="3" xfId="2" applyFont="1" applyFill="1" applyBorder="1" applyAlignment="1">
      <alignment vertical="center"/>
    </xf>
    <xf numFmtId="44" fontId="5" fillId="2" borderId="0" xfId="2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center"/>
    </xf>
    <xf numFmtId="44" fontId="13" fillId="0" borderId="0" xfId="0" applyNumberFormat="1" applyFont="1"/>
    <xf numFmtId="0" fontId="0" fillId="3" borderId="33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43" fontId="0" fillId="3" borderId="34" xfId="1" applyFont="1" applyFill="1" applyBorder="1" applyAlignment="1">
      <alignment vertical="center"/>
    </xf>
    <xf numFmtId="0" fontId="0" fillId="3" borderId="34" xfId="0" applyFill="1" applyBorder="1" applyAlignment="1">
      <alignment horizontal="center" vertical="center"/>
    </xf>
    <xf numFmtId="44" fontId="0" fillId="3" borderId="34" xfId="2" applyFont="1" applyFill="1" applyBorder="1" applyAlignment="1">
      <alignment horizontal="center" vertical="center"/>
    </xf>
    <xf numFmtId="44" fontId="1" fillId="3" borderId="34" xfId="2" applyFon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/>
    <xf numFmtId="0" fontId="2" fillId="2" borderId="3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2" fontId="0" fillId="3" borderId="6" xfId="2" applyNumberFormat="1" applyFont="1" applyFill="1" applyBorder="1" applyAlignment="1">
      <alignment horizontal="center" vertical="center"/>
    </xf>
    <xf numFmtId="43" fontId="0" fillId="9" borderId="6" xfId="1" applyFont="1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6" xfId="0" applyFill="1" applyBorder="1" applyAlignment="1">
      <alignment horizontal="center" vertical="center"/>
    </xf>
    <xf numFmtId="44" fontId="0" fillId="9" borderId="6" xfId="2" applyFont="1" applyFill="1" applyBorder="1" applyAlignment="1">
      <alignment horizontal="center" vertical="center"/>
    </xf>
    <xf numFmtId="43" fontId="3" fillId="9" borderId="6" xfId="1" applyFont="1" applyFill="1" applyBorder="1" applyAlignment="1">
      <alignment vertical="center"/>
    </xf>
    <xf numFmtId="44" fontId="1" fillId="9" borderId="6" xfId="2" applyFont="1" applyFill="1" applyBorder="1" applyAlignment="1">
      <alignment vertical="center"/>
    </xf>
    <xf numFmtId="44" fontId="8" fillId="0" borderId="6" xfId="0" applyNumberFormat="1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0" fillId="9" borderId="0" xfId="0" applyFill="1" applyAlignment="1">
      <alignment vertical="center"/>
    </xf>
    <xf numFmtId="0" fontId="6" fillId="9" borderId="6" xfId="0" applyFont="1" applyFill="1" applyBorder="1" applyAlignment="1">
      <alignment vertical="center"/>
    </xf>
    <xf numFmtId="44" fontId="6" fillId="9" borderId="6" xfId="2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43" fontId="0" fillId="10" borderId="6" xfId="1" applyFont="1" applyFill="1" applyBorder="1" applyAlignment="1">
      <alignment vertical="center"/>
    </xf>
    <xf numFmtId="0" fontId="0" fillId="10" borderId="6" xfId="0" applyFill="1" applyBorder="1" applyAlignment="1">
      <alignment horizontal="center" vertical="center"/>
    </xf>
    <xf numFmtId="44" fontId="0" fillId="10" borderId="6" xfId="2" applyFont="1" applyFill="1" applyBorder="1" applyAlignment="1">
      <alignment horizontal="center" vertical="center"/>
    </xf>
    <xf numFmtId="43" fontId="3" fillId="10" borderId="6" xfId="1" applyFont="1" applyFill="1" applyBorder="1" applyAlignment="1">
      <alignment vertical="center"/>
    </xf>
    <xf numFmtId="44" fontId="1" fillId="10" borderId="6" xfId="2" applyFont="1" applyFill="1" applyBorder="1" applyAlignment="1">
      <alignment vertical="center"/>
    </xf>
    <xf numFmtId="0" fontId="0" fillId="10" borderId="0" xfId="0" applyFill="1" applyAlignment="1">
      <alignment vertical="center"/>
    </xf>
    <xf numFmtId="0" fontId="6" fillId="10" borderId="6" xfId="0" applyFont="1" applyFill="1" applyBorder="1" applyAlignment="1">
      <alignment vertical="center"/>
    </xf>
    <xf numFmtId="44" fontId="6" fillId="10" borderId="6" xfId="2" applyFont="1" applyFill="1" applyBorder="1" applyAlignment="1">
      <alignment horizontal="center" vertical="center"/>
    </xf>
    <xf numFmtId="0" fontId="0" fillId="10" borderId="6" xfId="0" applyFont="1" applyFill="1" applyBorder="1" applyAlignment="1">
      <alignment vertical="center"/>
    </xf>
    <xf numFmtId="44" fontId="0" fillId="9" borderId="6" xfId="2" applyFont="1" applyFill="1" applyBorder="1" applyAlignment="1">
      <alignment horizontal="center" vertical="center"/>
    </xf>
    <xf numFmtId="44" fontId="7" fillId="9" borderId="6" xfId="2" applyFont="1" applyFill="1" applyBorder="1" applyAlignment="1">
      <alignment horizontal="center" vertical="center"/>
    </xf>
    <xf numFmtId="2" fontId="0" fillId="9" borderId="6" xfId="2" applyNumberFormat="1" applyFont="1" applyFill="1" applyBorder="1" applyAlignment="1">
      <alignment horizontal="center" vertical="center"/>
    </xf>
    <xf numFmtId="43" fontId="8" fillId="3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0" fillId="0" borderId="0" xfId="0"/>
    <xf numFmtId="44" fontId="0" fillId="10" borderId="6" xfId="2" applyFont="1" applyFill="1" applyBorder="1" applyAlignment="1">
      <alignment horizontal="center" vertical="center"/>
    </xf>
    <xf numFmtId="44" fontId="0" fillId="9" borderId="6" xfId="2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Alignment="1">
      <alignment horizontal="center" vertical="center"/>
    </xf>
    <xf numFmtId="44" fontId="2" fillId="0" borderId="0" xfId="2" applyFont="1" applyAlignment="1">
      <alignment horizontal="center" vertical="center"/>
    </xf>
    <xf numFmtId="0" fontId="2" fillId="0" borderId="0" xfId="0" applyFont="1" applyAlignment="1">
      <alignment horizontal="left"/>
    </xf>
    <xf numFmtId="44" fontId="2" fillId="0" borderId="0" xfId="0" applyNumberFormat="1" applyFont="1"/>
    <xf numFmtId="0" fontId="2" fillId="11" borderId="0" xfId="0" applyFont="1" applyFill="1" applyAlignment="1">
      <alignment horizontal="left"/>
    </xf>
    <xf numFmtId="44" fontId="2" fillId="11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0" fontId="15" fillId="9" borderId="6" xfId="0" applyFont="1" applyFill="1" applyBorder="1" applyAlignment="1">
      <alignment horizontal="right" vertical="center"/>
    </xf>
    <xf numFmtId="44" fontId="0" fillId="0" borderId="6" xfId="2" applyFont="1" applyBorder="1" applyAlignment="1">
      <alignment vertical="center"/>
    </xf>
    <xf numFmtId="44" fontId="16" fillId="0" borderId="6" xfId="2" applyFont="1" applyBorder="1" applyAlignment="1">
      <alignment vertical="center"/>
    </xf>
    <xf numFmtId="0" fontId="0" fillId="0" borderId="0" xfId="0" pivotButton="1"/>
    <xf numFmtId="0" fontId="0" fillId="0" borderId="0" xfId="0" applyBorder="1"/>
    <xf numFmtId="44" fontId="0" fillId="0" borderId="0" xfId="2" applyFont="1" applyBorder="1"/>
    <xf numFmtId="164" fontId="0" fillId="0" borderId="0" xfId="2" applyNumberFormat="1" applyFont="1" applyBorder="1"/>
    <xf numFmtId="0" fontId="0" fillId="0" borderId="0" xfId="0" applyBorder="1" applyAlignment="1">
      <alignment horizontal="center"/>
    </xf>
    <xf numFmtId="44" fontId="0" fillId="0" borderId="0" xfId="2" applyFont="1" applyBorder="1" applyAlignment="1">
      <alignment horizontal="center"/>
    </xf>
    <xf numFmtId="43" fontId="0" fillId="0" borderId="0" xfId="1" applyFont="1" applyFill="1" applyBorder="1"/>
    <xf numFmtId="44" fontId="13" fillId="0" borderId="0" xfId="0" applyNumberFormat="1" applyFont="1" applyBorder="1"/>
    <xf numFmtId="165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center" vertical="center"/>
    </xf>
    <xf numFmtId="44" fontId="19" fillId="0" borderId="0" xfId="2" applyFont="1" applyAlignment="1">
      <alignment horizontal="center" vertical="center"/>
    </xf>
    <xf numFmtId="44" fontId="1" fillId="11" borderId="6" xfId="2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vertical="center"/>
    </xf>
    <xf numFmtId="0" fontId="19" fillId="12" borderId="6" xfId="4" applyFont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9" fontId="0" fillId="0" borderId="6" xfId="3" applyFont="1" applyBorder="1" applyAlignment="1">
      <alignment horizontal="center" vertical="center"/>
    </xf>
    <xf numFmtId="43" fontId="0" fillId="0" borderId="0" xfId="0" applyNumberFormat="1"/>
    <xf numFmtId="0" fontId="0" fillId="11" borderId="19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0" fillId="11" borderId="3" xfId="0" applyFill="1" applyBorder="1" applyAlignment="1">
      <alignment vertical="center"/>
    </xf>
    <xf numFmtId="0" fontId="11" fillId="3" borderId="6" xfId="0" applyFont="1" applyFill="1" applyBorder="1" applyAlignment="1">
      <alignment vertical="center"/>
    </xf>
    <xf numFmtId="44" fontId="8" fillId="0" borderId="0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2" fillId="13" borderId="38" xfId="0" applyFont="1" applyFill="1" applyBorder="1"/>
    <xf numFmtId="0" fontId="0" fillId="0" borderId="6" xfId="0" applyBorder="1" applyAlignment="1">
      <alignment vertical="center"/>
    </xf>
    <xf numFmtId="0" fontId="19" fillId="14" borderId="6" xfId="0" applyFont="1" applyFill="1" applyBorder="1" applyAlignment="1">
      <alignment horizontal="center" vertical="center"/>
    </xf>
    <xf numFmtId="44" fontId="0" fillId="0" borderId="6" xfId="0" applyNumberFormat="1" applyBorder="1" applyAlignment="1">
      <alignment vertical="center"/>
    </xf>
    <xf numFmtId="44" fontId="0" fillId="0" borderId="0" xfId="0" applyNumberFormat="1"/>
    <xf numFmtId="9" fontId="0" fillId="0" borderId="6" xfId="3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13" borderId="0" xfId="0" applyFont="1" applyFill="1" applyBorder="1"/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5" fillId="2" borderId="0" xfId="2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3" fontId="5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9" fillId="12" borderId="0" xfId="4" applyFont="1" applyBorder="1" applyAlignment="1">
      <alignment horizontal="center" vertical="center"/>
    </xf>
    <xf numFmtId="43" fontId="0" fillId="9" borderId="0" xfId="0" applyNumberFormat="1" applyFill="1" applyAlignment="1">
      <alignment horizontal="center"/>
    </xf>
    <xf numFmtId="0" fontId="0" fillId="9" borderId="6" xfId="0" applyFill="1" applyBorder="1" applyAlignment="1">
      <alignment horizontal="center"/>
    </xf>
    <xf numFmtId="9" fontId="0" fillId="9" borderId="6" xfId="3" applyFont="1" applyFill="1" applyBorder="1" applyAlignment="1">
      <alignment horizontal="center" vertical="center"/>
    </xf>
    <xf numFmtId="43" fontId="0" fillId="10" borderId="0" xfId="0" applyNumberFormat="1" applyFill="1" applyAlignment="1">
      <alignment horizontal="center"/>
    </xf>
    <xf numFmtId="0" fontId="20" fillId="6" borderId="6" xfId="0" applyFont="1" applyFill="1" applyBorder="1" applyAlignment="1">
      <alignment vertical="center"/>
    </xf>
    <xf numFmtId="0" fontId="21" fillId="6" borderId="6" xfId="0" applyFont="1" applyFill="1" applyBorder="1" applyAlignment="1">
      <alignment vertical="center"/>
    </xf>
    <xf numFmtId="43" fontId="20" fillId="6" borderId="6" xfId="1" applyFont="1" applyFill="1" applyBorder="1" applyAlignment="1">
      <alignment vertical="center"/>
    </xf>
    <xf numFmtId="0" fontId="20" fillId="6" borderId="6" xfId="0" applyFont="1" applyFill="1" applyBorder="1" applyAlignment="1">
      <alignment horizontal="center" vertical="center"/>
    </xf>
    <xf numFmtId="44" fontId="20" fillId="6" borderId="6" xfId="2" applyFont="1" applyFill="1" applyBorder="1" applyAlignment="1">
      <alignment horizontal="center" vertical="center"/>
    </xf>
    <xf numFmtId="43" fontId="4" fillId="6" borderId="6" xfId="1" applyFont="1" applyFill="1" applyBorder="1" applyAlignment="1">
      <alignment vertical="center"/>
    </xf>
    <xf numFmtId="44" fontId="20" fillId="6" borderId="6" xfId="2" applyFont="1" applyFill="1" applyBorder="1" applyAlignment="1">
      <alignment vertical="center"/>
    </xf>
    <xf numFmtId="0" fontId="20" fillId="9" borderId="6" xfId="0" applyFont="1" applyFill="1" applyBorder="1" applyAlignment="1">
      <alignment vertical="center"/>
    </xf>
    <xf numFmtId="43" fontId="20" fillId="9" borderId="6" xfId="1" applyFont="1" applyFill="1" applyBorder="1" applyAlignment="1">
      <alignment vertical="center"/>
    </xf>
    <xf numFmtId="43" fontId="20" fillId="4" borderId="6" xfId="1" applyFont="1" applyFill="1" applyBorder="1" applyAlignment="1">
      <alignment vertical="center"/>
    </xf>
    <xf numFmtId="0" fontId="20" fillId="9" borderId="6" xfId="0" applyFont="1" applyFill="1" applyBorder="1" applyAlignment="1">
      <alignment horizontal="center" vertical="center"/>
    </xf>
    <xf numFmtId="44" fontId="20" fillId="9" borderId="6" xfId="2" applyFont="1" applyFill="1" applyBorder="1" applyAlignment="1">
      <alignment horizontal="center" vertical="center"/>
    </xf>
    <xf numFmtId="43" fontId="4" fillId="9" borderId="6" xfId="1" applyFont="1" applyFill="1" applyBorder="1" applyAlignment="1">
      <alignment vertical="center"/>
    </xf>
    <xf numFmtId="44" fontId="20" fillId="9" borderId="6" xfId="2" applyFont="1" applyFill="1" applyBorder="1" applyAlignment="1">
      <alignment vertical="center"/>
    </xf>
    <xf numFmtId="0" fontId="20" fillId="10" borderId="6" xfId="0" applyFont="1" applyFill="1" applyBorder="1" applyAlignment="1">
      <alignment vertical="center"/>
    </xf>
    <xf numFmtId="43" fontId="20" fillId="10" borderId="6" xfId="1" applyFont="1" applyFill="1" applyBorder="1" applyAlignment="1">
      <alignment vertical="center"/>
    </xf>
    <xf numFmtId="0" fontId="20" fillId="10" borderId="6" xfId="0" applyFont="1" applyFill="1" applyBorder="1" applyAlignment="1">
      <alignment horizontal="center" vertical="center"/>
    </xf>
    <xf numFmtId="44" fontId="20" fillId="10" borderId="6" xfId="2" applyFont="1" applyFill="1" applyBorder="1" applyAlignment="1">
      <alignment horizontal="center" vertical="center"/>
    </xf>
    <xf numFmtId="43" fontId="4" fillId="10" borderId="6" xfId="1" applyFont="1" applyFill="1" applyBorder="1" applyAlignment="1">
      <alignment vertical="center"/>
    </xf>
    <xf numFmtId="44" fontId="20" fillId="10" borderId="6" xfId="2" applyFont="1" applyFill="1" applyBorder="1" applyAlignment="1">
      <alignment vertical="center"/>
    </xf>
    <xf numFmtId="0" fontId="21" fillId="9" borderId="6" xfId="0" applyFont="1" applyFill="1" applyBorder="1" applyAlignment="1">
      <alignment vertical="center"/>
    </xf>
    <xf numFmtId="44" fontId="21" fillId="9" borderId="6" xfId="2" applyFont="1" applyFill="1" applyBorder="1" applyAlignment="1">
      <alignment horizontal="center" vertical="center"/>
    </xf>
    <xf numFmtId="44" fontId="20" fillId="10" borderId="6" xfId="2" applyNumberFormat="1" applyFont="1" applyFill="1" applyBorder="1" applyAlignment="1">
      <alignment vertical="center"/>
    </xf>
    <xf numFmtId="0" fontId="21" fillId="10" borderId="6" xfId="0" applyFont="1" applyFill="1" applyBorder="1" applyAlignment="1">
      <alignment vertical="center"/>
    </xf>
    <xf numFmtId="44" fontId="22" fillId="10" borderId="6" xfId="2" applyFont="1" applyFill="1" applyBorder="1" applyAlignment="1">
      <alignment horizontal="center" vertical="center"/>
    </xf>
    <xf numFmtId="44" fontId="20" fillId="9" borderId="6" xfId="2" applyNumberFormat="1" applyFont="1" applyFill="1" applyBorder="1" applyAlignment="1">
      <alignment vertical="center"/>
    </xf>
    <xf numFmtId="2" fontId="20" fillId="9" borderId="6" xfId="2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43" fontId="4" fillId="3" borderId="6" xfId="0" applyNumberFormat="1" applyFont="1" applyFill="1" applyBorder="1" applyAlignment="1">
      <alignment horizontal="center" vertical="center" wrapText="1"/>
    </xf>
    <xf numFmtId="44" fontId="4" fillId="0" borderId="6" xfId="0" applyNumberFormat="1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/>
    <xf numFmtId="0" fontId="5" fillId="2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/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5" fillId="2" borderId="39" xfId="0" applyFont="1" applyFill="1" applyBorder="1" applyAlignment="1">
      <alignment horizontal="center" vertical="center" wrapText="1"/>
    </xf>
    <xf numFmtId="0" fontId="2" fillId="14" borderId="0" xfId="0" applyFont="1" applyFill="1" applyAlignment="1">
      <alignment horizontal="center" vertical="center"/>
    </xf>
    <xf numFmtId="0" fontId="20" fillId="15" borderId="6" xfId="0" applyFont="1" applyFill="1" applyBorder="1" applyAlignment="1">
      <alignment vertical="center"/>
    </xf>
    <xf numFmtId="0" fontId="21" fillId="15" borderId="6" xfId="0" applyFont="1" applyFill="1" applyBorder="1" applyAlignment="1">
      <alignment vertical="center"/>
    </xf>
    <xf numFmtId="43" fontId="20" fillId="15" borderId="6" xfId="1" applyFont="1" applyFill="1" applyBorder="1" applyAlignment="1">
      <alignment vertical="center"/>
    </xf>
    <xf numFmtId="0" fontId="20" fillId="15" borderId="6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vertical="center"/>
    </xf>
    <xf numFmtId="43" fontId="20" fillId="11" borderId="6" xfId="1" applyFont="1" applyFill="1" applyBorder="1" applyAlignment="1">
      <alignment vertical="center"/>
    </xf>
    <xf numFmtId="4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</cellXfs>
  <cellStyles count="5">
    <cellStyle name="Millares" xfId="1" builtinId="3"/>
    <cellStyle name="Moneda" xfId="2" builtinId="4"/>
    <cellStyle name="Normal" xfId="0" builtinId="0"/>
    <cellStyle name="Notas" xfId="4" builtinId="10"/>
    <cellStyle name="Porcentaje" xfId="3" builtinId="5"/>
  </cellStyles>
  <dxfs count="9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[NÓMINA 2019 - MARZO HSXTRAS.xlsx]2A.FEB-RES!Tabla dinámica1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'2A.FEB-RES'!$B$3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'2A.FEB-RES'!$A$4:$A$18</c:f>
              <c:strCache>
                <c:ptCount val="14"/>
                <c:pt idx="0">
                  <c:v>ALMACEN LAURELES </c:v>
                </c:pt>
                <c:pt idx="1">
                  <c:v>ALMACEN MATRIZ</c:v>
                </c:pt>
                <c:pt idx="2">
                  <c:v>CORPORATIVO</c:v>
                </c:pt>
                <c:pt idx="3">
                  <c:v>LAURELES</c:v>
                </c:pt>
                <c:pt idx="4">
                  <c:v>LEON 5TA</c:v>
                </c:pt>
                <c:pt idx="5">
                  <c:v>LEON 9A</c:v>
                </c:pt>
                <c:pt idx="6">
                  <c:v>LEON VILLAFLORES</c:v>
                </c:pt>
                <c:pt idx="7">
                  <c:v>LIB. SUR</c:v>
                </c:pt>
                <c:pt idx="8">
                  <c:v>LLANTERA 5A</c:v>
                </c:pt>
                <c:pt idx="9">
                  <c:v>LLANTERA 9A</c:v>
                </c:pt>
                <c:pt idx="10">
                  <c:v>MATRIZ</c:v>
                </c:pt>
                <c:pt idx="11">
                  <c:v>MERCALTOS</c:v>
                </c:pt>
                <c:pt idx="12">
                  <c:v>PALMERAS</c:v>
                </c:pt>
                <c:pt idx="13">
                  <c:v>SAN RAMON</c:v>
                </c:pt>
              </c:strCache>
            </c:strRef>
          </c:cat>
          <c:val>
            <c:numRef>
              <c:f>'2A.FEB-RES'!$B$4:$B$18</c:f>
              <c:numCache>
                <c:formatCode>"$"#,##0.00</c:formatCode>
                <c:ptCount val="14"/>
                <c:pt idx="0">
                  <c:v>18000</c:v>
                </c:pt>
                <c:pt idx="1">
                  <c:v>6865</c:v>
                </c:pt>
                <c:pt idx="2">
                  <c:v>97507.666666666657</c:v>
                </c:pt>
                <c:pt idx="3">
                  <c:v>15713.333333333334</c:v>
                </c:pt>
                <c:pt idx="4">
                  <c:v>5815</c:v>
                </c:pt>
                <c:pt idx="5">
                  <c:v>5950</c:v>
                </c:pt>
                <c:pt idx="6">
                  <c:v>7550</c:v>
                </c:pt>
                <c:pt idx="7">
                  <c:v>20034.16</c:v>
                </c:pt>
                <c:pt idx="8">
                  <c:v>15268.960000000001</c:v>
                </c:pt>
                <c:pt idx="9">
                  <c:v>9500</c:v>
                </c:pt>
                <c:pt idx="10">
                  <c:v>12413.34</c:v>
                </c:pt>
                <c:pt idx="11">
                  <c:v>18450</c:v>
                </c:pt>
                <c:pt idx="12">
                  <c:v>10465</c:v>
                </c:pt>
                <c:pt idx="13">
                  <c:v>18850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83848"/>
        <c:axId val="357285416"/>
      </c:barChart>
      <c:catAx>
        <c:axId val="357283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7285416"/>
        <c:crosses val="autoZero"/>
        <c:auto val="1"/>
        <c:lblAlgn val="ctr"/>
        <c:lblOffset val="100"/>
        <c:noMultiLvlLbl val="0"/>
      </c:catAx>
      <c:valAx>
        <c:axId val="35728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7283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[NÓMINA 2019 - MARZO HSXTRAS.xlsx]1RA MARZO!Tabla dinámica1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'1RA MARZO'!$B$3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'1RA MARZO'!$A$4:$A$18</c:f>
              <c:strCache>
                <c:ptCount val="14"/>
                <c:pt idx="0">
                  <c:v>ALMACEN LAURELES </c:v>
                </c:pt>
                <c:pt idx="1">
                  <c:v>ALMACEN MATRIZ</c:v>
                </c:pt>
                <c:pt idx="2">
                  <c:v>CORPORATIVO</c:v>
                </c:pt>
                <c:pt idx="3">
                  <c:v>LAURELES</c:v>
                </c:pt>
                <c:pt idx="4">
                  <c:v>LEON 5TA</c:v>
                </c:pt>
                <c:pt idx="5">
                  <c:v>LEON 9A</c:v>
                </c:pt>
                <c:pt idx="6">
                  <c:v>LEON VILLAFLORES</c:v>
                </c:pt>
                <c:pt idx="7">
                  <c:v>LIB. SUR</c:v>
                </c:pt>
                <c:pt idx="8">
                  <c:v>LLANTERA 5A</c:v>
                </c:pt>
                <c:pt idx="9">
                  <c:v>LLANTERA 9A</c:v>
                </c:pt>
                <c:pt idx="10">
                  <c:v>MATRIZ</c:v>
                </c:pt>
                <c:pt idx="11">
                  <c:v>MERCALTOS</c:v>
                </c:pt>
                <c:pt idx="12">
                  <c:v>PALMERAS</c:v>
                </c:pt>
                <c:pt idx="13">
                  <c:v>SAN RAMON</c:v>
                </c:pt>
              </c:strCache>
            </c:strRef>
          </c:cat>
          <c:val>
            <c:numRef>
              <c:f>'1RA MARZO'!$B$4:$B$18</c:f>
              <c:numCache>
                <c:formatCode>"$"#,##0.00</c:formatCode>
                <c:ptCount val="14"/>
                <c:pt idx="0">
                  <c:v>15000</c:v>
                </c:pt>
                <c:pt idx="1">
                  <c:v>5500</c:v>
                </c:pt>
                <c:pt idx="2">
                  <c:v>102333.33333333333</c:v>
                </c:pt>
                <c:pt idx="3">
                  <c:v>19900</c:v>
                </c:pt>
                <c:pt idx="4">
                  <c:v>11200</c:v>
                </c:pt>
                <c:pt idx="5">
                  <c:v>6433.33</c:v>
                </c:pt>
                <c:pt idx="6">
                  <c:v>7600</c:v>
                </c:pt>
                <c:pt idx="7">
                  <c:v>22200</c:v>
                </c:pt>
                <c:pt idx="8">
                  <c:v>14832</c:v>
                </c:pt>
                <c:pt idx="9">
                  <c:v>9700</c:v>
                </c:pt>
                <c:pt idx="10">
                  <c:v>12466.666666666668</c:v>
                </c:pt>
                <c:pt idx="11">
                  <c:v>18400</c:v>
                </c:pt>
                <c:pt idx="12">
                  <c:v>10266.666666666668</c:v>
                </c:pt>
                <c:pt idx="13">
                  <c:v>19250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83064"/>
        <c:axId val="357285808"/>
      </c:barChart>
      <c:catAx>
        <c:axId val="35728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7285808"/>
        <c:crosses val="autoZero"/>
        <c:auto val="1"/>
        <c:lblAlgn val="ctr"/>
        <c:lblOffset val="100"/>
        <c:noMultiLvlLbl val="0"/>
      </c:catAx>
      <c:valAx>
        <c:axId val="35728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7283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strRef>
              <c:f>'1RA MARZO'!$B$23</c:f>
              <c:strCache>
                <c:ptCount val="1"/>
                <c:pt idx="0">
                  <c:v>TOTALES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'1RA MARZO'!$A$24:$A$28</c:f>
              <c:strCache>
                <c:ptCount val="5"/>
                <c:pt idx="0">
                  <c:v>1RA ENERO</c:v>
                </c:pt>
                <c:pt idx="1">
                  <c:v>2DA ENERO</c:v>
                </c:pt>
                <c:pt idx="2">
                  <c:v>1RA FEBRERO</c:v>
                </c:pt>
                <c:pt idx="3">
                  <c:v>2DA FEBRERO</c:v>
                </c:pt>
                <c:pt idx="4">
                  <c:v>1RA MARZO</c:v>
                </c:pt>
              </c:strCache>
            </c:strRef>
          </c:cat>
          <c:val>
            <c:numRef>
              <c:f>'1RA MARZO'!$B$24:$B$28</c:f>
              <c:numCache>
                <c:formatCode>_("$"* #,##0.00_);_("$"* \(#,##0.00\);_("$"* "-"??_);_(@_)</c:formatCode>
                <c:ptCount val="5"/>
                <c:pt idx="0">
                  <c:v>249589.33333333331</c:v>
                </c:pt>
                <c:pt idx="1">
                  <c:v>241946</c:v>
                </c:pt>
                <c:pt idx="2">
                  <c:v>265047.43333333329</c:v>
                </c:pt>
                <c:pt idx="3">
                  <c:v>262543.5</c:v>
                </c:pt>
                <c:pt idx="4">
                  <c:v>275081.99666666659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460920"/>
        <c:axId val="399458176"/>
      </c:lineChart>
      <c:catAx>
        <c:axId val="39946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99458176"/>
        <c:crosses val="autoZero"/>
        <c:auto val="1"/>
        <c:lblAlgn val="ctr"/>
        <c:lblOffset val="100"/>
        <c:noMultiLvlLbl val="0"/>
      </c:catAx>
      <c:valAx>
        <c:axId val="3994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99460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DEDUCCIONES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'1RA MARZ DEDUC'!$A$23</c:f>
              <c:strCache>
                <c:ptCount val="1"/>
                <c:pt idx="0">
                  <c:v>2DA DE FEB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'1RA MARZ DEDUC'!$B$22:$E$22</c:f>
              <c:strCache>
                <c:ptCount val="4"/>
                <c:pt idx="0">
                  <c:v>DEUDA INTERNA</c:v>
                </c:pt>
                <c:pt idx="1">
                  <c:v>RETARDOS </c:v>
                </c:pt>
                <c:pt idx="2">
                  <c:v>AC-CORR</c:v>
                </c:pt>
                <c:pt idx="3">
                  <c:v>UNIFORMES</c:v>
                </c:pt>
              </c:strCache>
            </c:strRef>
          </c:cat>
          <c:val>
            <c:numRef>
              <c:f>'1RA MARZ DEDUC'!$B$23:$E$23</c:f>
              <c:numCache>
                <c:formatCode>_("$"* #,##0.00_);_("$"* \(#,##0.00\);_("$"* "-"??_);_(@_)</c:formatCode>
                <c:ptCount val="4"/>
                <c:pt idx="0">
                  <c:v>5800.88</c:v>
                </c:pt>
                <c:pt idx="1">
                  <c:v>1366.66</c:v>
                </c:pt>
                <c:pt idx="2">
                  <c:v>1150</c:v>
                </c:pt>
                <c:pt idx="3">
                  <c:v>1750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'1RA MARZ DEDUC'!$A$24</c:f>
              <c:strCache>
                <c:ptCount val="1"/>
                <c:pt idx="0">
                  <c:v>1RA MARZ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'1RA MARZ DEDUC'!$B$22:$E$22</c:f>
              <c:strCache>
                <c:ptCount val="4"/>
                <c:pt idx="0">
                  <c:v>DEUDA INTERNA</c:v>
                </c:pt>
                <c:pt idx="1">
                  <c:v>RETARDOS </c:v>
                </c:pt>
                <c:pt idx="2">
                  <c:v>AC-CORR</c:v>
                </c:pt>
                <c:pt idx="3">
                  <c:v>UNIFORMES</c:v>
                </c:pt>
              </c:strCache>
            </c:strRef>
          </c:cat>
          <c:val>
            <c:numRef>
              <c:f>'1RA MARZ DEDUC'!$B$24:$E$24</c:f>
              <c:numCache>
                <c:formatCode>_("$"* #,##0.00_);_("$"* \(#,##0.00\);_("$"* "-"??_);_(@_)</c:formatCode>
                <c:ptCount val="4"/>
                <c:pt idx="0">
                  <c:v>3265</c:v>
                </c:pt>
                <c:pt idx="1">
                  <c:v>866.67000000000007</c:v>
                </c:pt>
                <c:pt idx="2">
                  <c:v>803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275976"/>
        <c:axId val="401277152"/>
      </c:lineChart>
      <c:catAx>
        <c:axId val="40127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01277152"/>
        <c:crosses val="autoZero"/>
        <c:auto val="1"/>
        <c:lblAlgn val="ctr"/>
        <c:lblOffset val="100"/>
        <c:noMultiLvlLbl val="0"/>
      </c:catAx>
      <c:valAx>
        <c:axId val="40127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0127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'1RA MARZ DEDUC'!$F$22</c:f>
              <c:strCache>
                <c:ptCount val="1"/>
                <c:pt idx="0">
                  <c:v>TOTALES</c:v>
                </c:pt>
              </c:strCache>
            </c:strRef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circle"/>
            <c:size val="5"/>
            <c:spPr>
              <a:solidFill>
                <a:schemeClr val="accent1"/>
              </a:solidFill>
              <a:ln w="22225">
                <a:solidFill>
                  <a:schemeClr val="lt1"/>
                </a:solidFill>
                <a:round/>
              </a:ln>
              <a:effectLst/>
            </c:spPr>
          </c:marker>
          <c:cat>
            <c:strRef>
              <c:f>'1RA MARZ DEDUC'!$A$23:$A$24</c:f>
              <c:strCache>
                <c:ptCount val="2"/>
                <c:pt idx="0">
                  <c:v>2DA DE FEB</c:v>
                </c:pt>
                <c:pt idx="1">
                  <c:v>1RA MARZ</c:v>
                </c:pt>
              </c:strCache>
            </c:strRef>
          </c:cat>
          <c:val>
            <c:numRef>
              <c:f>'1RA MARZ DEDUC'!$F$23:$F$24</c:f>
              <c:numCache>
                <c:formatCode>_("$"* #,##0.00_);_("$"* \(#,##0.00\);_("$"* "-"??_);_(@_)</c:formatCode>
                <c:ptCount val="2"/>
                <c:pt idx="0">
                  <c:v>10067.540000000001</c:v>
                </c:pt>
                <c:pt idx="1">
                  <c:v>4934.67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marker val="1"/>
        <c:smooth val="0"/>
        <c:axId val="332503096"/>
        <c:axId val="332507016"/>
      </c:lineChart>
      <c:catAx>
        <c:axId val="33250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32507016"/>
        <c:crosses val="autoZero"/>
        <c:auto val="1"/>
        <c:lblAlgn val="ctr"/>
        <c:lblOffset val="100"/>
        <c:noMultiLvlLbl val="0"/>
      </c:catAx>
      <c:valAx>
        <c:axId val="332507016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32503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7375" y="47625"/>
          <a:ext cx="1143000" cy="54292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16</xdr:row>
      <xdr:rowOff>7937</xdr:rowOff>
    </xdr:from>
    <xdr:to>
      <xdr:col>12</xdr:col>
      <xdr:colOff>295275</xdr:colOff>
      <xdr:row>30</xdr:row>
      <xdr:rowOff>74612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0</xdr:row>
      <xdr:rowOff>185737</xdr:rowOff>
    </xdr:from>
    <xdr:to>
      <xdr:col>12</xdr:col>
      <xdr:colOff>266700</xdr:colOff>
      <xdr:row>15</xdr:row>
      <xdr:rowOff>77787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7375" y="47625"/>
          <a:ext cx="1143000" cy="5429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7375" y="47625"/>
          <a:ext cx="1143000" cy="54292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</xdr:row>
      <xdr:rowOff>9525</xdr:rowOff>
    </xdr:from>
    <xdr:to>
      <xdr:col>6</xdr:col>
      <xdr:colOff>1270000</xdr:colOff>
      <xdr:row>21</xdr:row>
      <xdr:rowOff>127001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1111250</xdr:colOff>
      <xdr:row>22</xdr:row>
      <xdr:rowOff>190499</xdr:rowOff>
    </xdr:from>
    <xdr:to>
      <xdr:col>5</xdr:col>
      <xdr:colOff>1762125</xdr:colOff>
      <xdr:row>27</xdr:row>
      <xdr:rowOff>47624</xdr:rowOff>
    </xdr:to>
    <xdr:sp macro="" textlink="">
      <xdr:nvSpPr>
        <xdr:cNvPr id="3" name="CuadroTexto 2"/>
        <xdr:cNvSpPr txBox="1"/>
      </xdr:nvSpPr>
      <xdr:spPr>
        <a:xfrm>
          <a:off x="4238625" y="4524374"/>
          <a:ext cx="3524250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FIRMA DE AUTORIZACIÓN</a:t>
          </a:r>
          <a:r>
            <a:rPr lang="es-MX" sz="1100" b="1" baseline="0"/>
            <a:t> DE PRESIDENCIA EJECUTIVA</a:t>
          </a:r>
        </a:p>
        <a:p>
          <a:pPr algn="ctr"/>
          <a:endParaRPr lang="es-MX" sz="1100" b="1" baseline="0"/>
        </a:p>
        <a:p>
          <a:pPr algn="ctr"/>
          <a:r>
            <a:rPr lang="es-MX" sz="1100" b="1"/>
            <a:t>_____________________________________________</a:t>
          </a:r>
        </a:p>
        <a:p>
          <a:pPr algn="ctr"/>
          <a:r>
            <a:rPr lang="es-MX" sz="1100" b="1"/>
            <a:t>RAUL LEÓN LIMÓN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20</xdr:row>
      <xdr:rowOff>161925</xdr:rowOff>
    </xdr:from>
    <xdr:to>
      <xdr:col>4</xdr:col>
      <xdr:colOff>530411</xdr:colOff>
      <xdr:row>25</xdr:row>
      <xdr:rowOff>19050</xdr:rowOff>
    </xdr:to>
    <xdr:sp macro="" textlink="">
      <xdr:nvSpPr>
        <xdr:cNvPr id="2" name="CuadroTexto 1"/>
        <xdr:cNvSpPr txBox="1"/>
      </xdr:nvSpPr>
      <xdr:spPr>
        <a:xfrm>
          <a:off x="800100" y="4076700"/>
          <a:ext cx="3530786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FIRMA DE AUTORIZACIÓN</a:t>
          </a:r>
          <a:r>
            <a:rPr lang="es-MX" sz="1100" b="1" baseline="0"/>
            <a:t> DE PRESIDENCIA EJECUTIVA</a:t>
          </a:r>
        </a:p>
        <a:p>
          <a:pPr algn="ctr"/>
          <a:endParaRPr lang="es-MX" sz="1100" b="1" baseline="0"/>
        </a:p>
        <a:p>
          <a:pPr algn="ctr"/>
          <a:r>
            <a:rPr lang="es-MX" sz="1100" b="1"/>
            <a:t>_____________________________________________</a:t>
          </a:r>
        </a:p>
        <a:p>
          <a:pPr algn="ctr"/>
          <a:r>
            <a:rPr lang="es-MX" sz="1100" b="1"/>
            <a:t>RAUL LEÓN LIMÓN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47625"/>
          <a:ext cx="1143000" cy="542925"/>
        </a:xfrm>
        <a:prstGeom prst="rect">
          <a:avLst/>
        </a:prstGeom>
      </xdr:spPr>
    </xdr:pic>
    <xdr:clientData/>
  </xdr:oneCellAnchor>
  <xdr:twoCellAnchor>
    <xdr:from>
      <xdr:col>6</xdr:col>
      <xdr:colOff>235324</xdr:colOff>
      <xdr:row>78</xdr:row>
      <xdr:rowOff>0</xdr:rowOff>
    </xdr:from>
    <xdr:to>
      <xdr:col>10</xdr:col>
      <xdr:colOff>1204632</xdr:colOff>
      <xdr:row>84</xdr:row>
      <xdr:rowOff>134471</xdr:rowOff>
    </xdr:to>
    <xdr:sp macro="" textlink="">
      <xdr:nvSpPr>
        <xdr:cNvPr id="3" name="CuadroTexto 2"/>
        <xdr:cNvSpPr txBox="1"/>
      </xdr:nvSpPr>
      <xdr:spPr>
        <a:xfrm>
          <a:off x="9267265" y="16595912"/>
          <a:ext cx="4443132" cy="15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FIRMA DE AUTORIZACIÓN</a:t>
          </a:r>
          <a:r>
            <a:rPr lang="es-MX" sz="1100" b="1" baseline="0"/>
            <a:t> DE PRESIDENCIA EJECUTIVA</a:t>
          </a:r>
        </a:p>
        <a:p>
          <a:pPr algn="ctr"/>
          <a:endParaRPr lang="es-MX" sz="1100" b="1" baseline="0"/>
        </a:p>
        <a:p>
          <a:pPr algn="ctr"/>
          <a:r>
            <a:rPr lang="es-MX" sz="1100" b="1"/>
            <a:t>_____________________________________________</a:t>
          </a:r>
        </a:p>
        <a:p>
          <a:pPr algn="ctr"/>
          <a:r>
            <a:rPr lang="es-MX" sz="1100" b="1"/>
            <a:t>RAUL LEÓN LIMÓN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1700" y="47625"/>
          <a:ext cx="1143000" cy="542925"/>
        </a:xfrm>
        <a:prstGeom prst="rect">
          <a:avLst/>
        </a:prstGeom>
      </xdr:spPr>
    </xdr:pic>
    <xdr:clientData/>
  </xdr:oneCellAnchor>
  <xdr:twoCellAnchor>
    <xdr:from>
      <xdr:col>7</xdr:col>
      <xdr:colOff>235324</xdr:colOff>
      <xdr:row>86</xdr:row>
      <xdr:rowOff>0</xdr:rowOff>
    </xdr:from>
    <xdr:to>
      <xdr:col>13</xdr:col>
      <xdr:colOff>1204632</xdr:colOff>
      <xdr:row>92</xdr:row>
      <xdr:rowOff>134471</xdr:rowOff>
    </xdr:to>
    <xdr:sp macro="" textlink="">
      <xdr:nvSpPr>
        <xdr:cNvPr id="3" name="CuadroTexto 2"/>
        <xdr:cNvSpPr txBox="1"/>
      </xdr:nvSpPr>
      <xdr:spPr>
        <a:xfrm>
          <a:off x="11265274" y="18107025"/>
          <a:ext cx="9637058" cy="15346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FIRMA DE AUTORIZACIÓN</a:t>
          </a:r>
          <a:r>
            <a:rPr lang="es-MX" sz="1100" b="1" baseline="0"/>
            <a:t> DE PRESIDENCIA EJECUTIVA</a:t>
          </a:r>
        </a:p>
        <a:p>
          <a:pPr algn="ctr"/>
          <a:endParaRPr lang="es-MX" sz="1100" b="1" baseline="0"/>
        </a:p>
        <a:p>
          <a:pPr algn="ctr"/>
          <a:r>
            <a:rPr lang="es-MX" sz="1100" b="1"/>
            <a:t>_____________________________________________</a:t>
          </a:r>
        </a:p>
        <a:p>
          <a:pPr algn="ctr"/>
          <a:r>
            <a:rPr lang="es-MX" sz="1100" b="1"/>
            <a:t>RAUL LEÓN LIMÓN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400050</xdr:colOff>
      <xdr:row>0</xdr:row>
      <xdr:rowOff>47625</xdr:rowOff>
    </xdr:from>
    <xdr:ext cx="1143000" cy="542925"/>
    <xdr:pic>
      <xdr:nvPicPr>
        <xdr:cNvPr id="2" name="Logo" descr="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15275" y="47625"/>
          <a:ext cx="1143000" cy="542925"/>
        </a:xfrm>
        <a:prstGeom prst="rect">
          <a:avLst/>
        </a:prstGeom>
      </xdr:spPr>
    </xdr:pic>
    <xdr:clientData/>
  </xdr:oneCellAnchor>
  <xdr:twoCellAnchor>
    <xdr:from>
      <xdr:col>7</xdr:col>
      <xdr:colOff>235324</xdr:colOff>
      <xdr:row>86</xdr:row>
      <xdr:rowOff>0</xdr:rowOff>
    </xdr:from>
    <xdr:to>
      <xdr:col>13</xdr:col>
      <xdr:colOff>1204632</xdr:colOff>
      <xdr:row>92</xdr:row>
      <xdr:rowOff>134471</xdr:rowOff>
    </xdr:to>
    <xdr:sp macro="" textlink="">
      <xdr:nvSpPr>
        <xdr:cNvPr id="3" name="CuadroTexto 2"/>
        <xdr:cNvSpPr txBox="1"/>
      </xdr:nvSpPr>
      <xdr:spPr>
        <a:xfrm>
          <a:off x="9179299" y="16525875"/>
          <a:ext cx="4445933" cy="15346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FIRMA DE AUTORIZACIÓN</a:t>
          </a:r>
          <a:r>
            <a:rPr lang="es-MX" sz="1100" b="1" baseline="0"/>
            <a:t> DE PRESIDENCIA EJECUTIVA</a:t>
          </a:r>
        </a:p>
        <a:p>
          <a:pPr algn="ctr"/>
          <a:endParaRPr lang="es-MX" sz="1100" b="1" baseline="0"/>
        </a:p>
        <a:p>
          <a:pPr algn="ctr"/>
          <a:r>
            <a:rPr lang="es-MX" sz="1100" b="1"/>
            <a:t>_____________________________________________</a:t>
          </a:r>
        </a:p>
        <a:p>
          <a:pPr algn="ctr"/>
          <a:r>
            <a:rPr lang="es-MX" sz="1100" b="1"/>
            <a:t>RAUL LEÓN LIMÓN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0</xdr:row>
      <xdr:rowOff>52386</xdr:rowOff>
    </xdr:from>
    <xdr:to>
      <xdr:col>14</xdr:col>
      <xdr:colOff>650875</xdr:colOff>
      <xdr:row>18</xdr:row>
      <xdr:rowOff>133349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21</xdr:row>
      <xdr:rowOff>4762</xdr:rowOff>
    </xdr:from>
    <xdr:to>
      <xdr:col>12</xdr:col>
      <xdr:colOff>714375</xdr:colOff>
      <xdr:row>35</xdr:row>
      <xdr:rowOff>71437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G" refreshedDate="43528.80254733796" createdVersion="5" refreshedVersion="5" minRefreshableVersion="3" recordCount="71">
  <cacheSource type="worksheet">
    <worksheetSource ref="B5:Q76" sheet="2A. FEBRERO"/>
  </cacheSource>
  <cacheFields count="16">
    <cacheField name="Sucursal" numFmtId="0">
      <sharedItems containsBlank="1" count="22">
        <s v="CORPORATIVO"/>
        <s v="LEON VILLAFLORES"/>
        <s v="PALMERAS"/>
        <s v="LLANTERA 9A"/>
        <s v="LLANTERA 5A"/>
        <s v="LEON 5TA"/>
        <s v="LIB. SUR"/>
        <s v="LAURELES"/>
        <s v="ALMACEN MATRIZ"/>
        <s v="MATRIZ"/>
        <s v="LEON 9A"/>
        <s v="ALMACEN LAURELES "/>
        <s v="MERCALTOS"/>
        <s v="SAN RAMON"/>
        <m u="1"/>
        <s v="LEON 5TA. " u="1"/>
        <s v="PERMISO" u="1"/>
        <s v="JEFATURA DE RINES" u="1"/>
        <s v="LAURELES " u="1"/>
        <s v="BAJA" u="1"/>
        <s v="NUEVO" u="1"/>
        <s v="VILLAFLORES" u="1"/>
      </sharedItems>
    </cacheField>
    <cacheField name="Departamento" numFmtId="0">
      <sharedItems/>
    </cacheField>
    <cacheField name="Puesto" numFmtId="0">
      <sharedItems containsBlank="1" count="38">
        <s v="PRESIDENTE EJECUTIVO"/>
        <s v="V.P. DE ADMINISTRACIÓN Y FINANZAS"/>
        <s v="DIRECCIÓN ESTRATÉGICA"/>
        <s v="GERENTE DE ADMINISTRACIÓN"/>
        <s v="ANALISTA DE EGRESOS"/>
        <s v="ANALISTA DE INGRESOS"/>
        <s v="ANALISTA DE RECURSOS HUMANOS"/>
        <s v="GERENTE DE COMPRAS"/>
        <s v="GERENTE OPERATIVO"/>
        <s v="GERENTE DE TI"/>
        <s v="SOPORTE OPERATIVO"/>
        <s v="DESARROLLO"/>
        <s v="COMMUNITY MANAGER"/>
        <s v="JEFE DE SUCURSAL"/>
        <s v="INSTALADOR"/>
        <s v="ALINEADOR"/>
        <s v="JEFE DE SUCURSAL- BAJA 02-03-19"/>
        <s v="VENDEDOR"/>
        <s v="CHOFER"/>
        <s v="VENDEDOR "/>
        <s v="GERENTE DE VENTAS"/>
        <s v="CAJERA"/>
        <s v="VELADOR"/>
        <s v="JEFE DE ALMACEN COLISIÓN"/>
        <s v="INSTALADOR "/>
        <s v="JEFE DE ALMACEN"/>
        <s v="AUXILIAR DE LLANTAS Y ACCESORIOS"/>
        <s v="JEFE DE RINES"/>
        <s v="ALMACENISTA"/>
        <m u="1"/>
        <s v="JEFE DE ALMACEN ACCESORIOS" u="1"/>
        <s v="CAJERO" u="1"/>
        <s v="SECRETARIA" u="1"/>
        <s v="VENDEDOR /ALINEADOR" u="1"/>
        <s v="AUXILIAR ALMACEN" u="1"/>
        <s v="AUXILIAR ACCESORIOS" u="1"/>
        <s v="MONTAJE/VENDEDOR" u="1"/>
        <s v="VENDEDORA/CAJERA" u="1"/>
      </sharedItems>
    </cacheField>
    <cacheField name="Nombre" numFmtId="0">
      <sharedItems containsBlank="1" count="91">
        <s v="RAUL LEON LIMON"/>
        <s v="LUISA MARIA RUIZ VARGAS"/>
        <s v="VICTOR MANUEL PINTO CASTILLEJOS"/>
        <s v="JUAN CARLOS AGUILAR ANZA"/>
        <s v="JORGE JOSÉ AGUILAR GUTIÉRREZ"/>
        <s v="JESSICA CRISTIAN BAUTISTA GONZÁLEZ"/>
        <s v="PAOLA SHAZEL ARCE MARÍN"/>
        <s v="LUIS ALBERTO LOPEZ HERNANDEZ"/>
        <s v="ROGELIO ARMANDO DOMINGUEZ VIDAL"/>
        <s v="SERGIO DE JESUS ESTRADA AVELAR"/>
        <s v="LUIS ALFREDO MENDEZ SANCHEZ"/>
        <s v="CARLOS ALBERTO CULEBRO ESQUINCA"/>
        <s v="MARCO ANTONIO NATAREN LOPEZ"/>
        <s v="DIANA ALICIA RESENDIZ HERRERA "/>
        <s v="FRANCISCO ARCOS ALVARO"/>
        <s v="ANDRES ALEJANDRO ORTIZ GUILLEN"/>
        <s v="EDUARDO DE JESÚS HERNÁNDEZ GUTIÉRREZ"/>
        <s v="ARBEY DE JESUS RAMIREZ ESPINOSA"/>
        <s v="MARISOL NARCIA PEREZ"/>
        <s v="JONATHAN FRANCISCO TREJO VAZQUEZ"/>
        <s v="NICOLÁS GÓMEZ PÉREZ"/>
        <s v="CRISTIAN RODRIGUEZ ARMAS"/>
        <s v="JOSUE VAZQUEZ JIMENEZ"/>
        <s v="JOSE FRANCISCO ALBORES MARTINEZ"/>
        <s v="JOSE MIGUEL GOMEZ PEREZ"/>
        <s v="JESUS NOE SOLIS JIMENEZ- BAJA DIA 22"/>
        <s v="NELVY SELENE FONSECA LEÓN"/>
        <s v="BRAULIO EDUARDO GOMEZ ZAMBRANO"/>
        <s v="SILVANA LEON GONZALEZ"/>
        <s v="OMAR ARTURO MARTINEZ MARROQUIN"/>
        <s v="FRANKLIN RODELI AGUILAR PÉREZ"/>
        <s v="YURITZI YASMIN GRAJALES MENDEZ"/>
        <s v="ERICK ABENAMAR GARCIA FONSECA"/>
        <s v="DANTE LEON GONZALEZ"/>
        <s v="BEILER ENRIQUE REYES HERNANDEZ"/>
        <s v="JESUS HERNANDEZ PEREZ"/>
        <s v="OMAR EZEQUIEL TREJO SANCHEZ"/>
        <s v="SERGIO ENRIQUE OJEDA TORRES"/>
        <s v="JONATHAN SANCHES MENDEZ"/>
        <s v="EDGAR EULISES INDILÍ HERNÁNDEZ"/>
        <s v="LUIS ALBERTO DELFIN GARCIA"/>
        <s v="ORLANDO LEON GONZALEZ - BAJA DIA 23"/>
        <s v="ANA KAREN VELAZQUEZ COELLO"/>
        <s v="MARCOS ALEXIS SANCHEZ RODRIGUEZ"/>
        <s v="LUIS ANDRES DEL VILLAR GARCIA "/>
        <s v="MARCO ANTONIO JUÁREZ GÓMEZ"/>
        <s v="ALEJANDRA VALENCIA JIMENEZ"/>
        <s v="RUBEN ALEJANDRO RÍOS VÁZQUEZ"/>
        <s v="JUAN AUDELI ELIAS GARCIA"/>
        <s v="PATRICK ANDRÉS GRAJALES ZAMBRANO"/>
        <s v="DAVID SANTIZ LOPEZ"/>
        <s v="IRVIN YONEY RAMIREZ ESPINOSA"/>
        <s v="SILVIA GABRIELA SELAYA GUZMAN"/>
        <s v="EDEL REGINO GARCIA MAZARIEGOS"/>
        <s v="LUIS MIGUEL AVENDAÑO OVANDO "/>
        <s v="ARMANDO CAMACHO OZUNA"/>
        <s v="ROGER ANDRES DOMINGUEZ CRUZ"/>
        <s v="HORACIO MANUEL LOPEZ VALLES"/>
        <s v="DAIREL MENDOZA PEREZ"/>
        <s v="JOSE DE JESUS RAMOS DIAZ"/>
        <s v="RANGEL GOMEZ TORRES"/>
        <s v="JUAN MANUEL SANCHEZ MOO"/>
        <s v="VICTOR HERNANDEZ GOMEZ"/>
        <s v="LORENZO SANCHEZ GONZALEZ"/>
        <s v="JESSICA MARLITH HERNANDEZ VELAZCO"/>
        <s v="JUAN MIGUEL MORALES SANCHEZ"/>
        <s v="LUIS FERNANDO ALVAREZ SANCHEZ"/>
        <s v="BENITO DE JESUS JUAREZ CRUZ"/>
        <s v="JOSE FRANCISCO RUIZ ROMAN"/>
        <s v="JUAN GOMEZ GOMEZ"/>
        <s v="MATI GOMEZ PEREZ"/>
        <m u="1"/>
        <s v="JOSUE VAZQUEZ JIMENEZ -ESTA EN LAURELES" u="1"/>
        <s v="JUAN AUDELI ELIAS GARCIA (cambiar sede)-LEON VILLAFLORES" u="1"/>
        <s v="ORLANDO LEON GONZALEZ" u="1"/>
        <s v="JESUS OSWALDO HERNANDEZ RAMIREZ-BAJA" u="1"/>
        <s v="JORGE" u="1"/>
        <s v="JSOE FRANCISCO RUIZ ROMAN" u="1"/>
        <s v="GILBERTO BURGUETE SANCHEZ-BAJA" u="1"/>
        <s v="JORGE ORBELIN ALBORES GARCIA" u="1"/>
        <s v="SELENE FONCECA LEON" u="1"/>
        <s v="SELENE" u="1"/>
        <s v="JUANA MARIA GOMEZ PEREZ" u="1"/>
        <s v="JONATAN" u="1"/>
        <s v="LORENZO JOEL SÁNCHEZ GALICIA-BAJA" u="1"/>
        <s v="JONATHAN" u="1"/>
        <s v="JUAN MANUEL SANCHEZ MOD" u="1"/>
        <s v="JESSICA MARLITH HERNANDEZ VELASOCO" u="1"/>
        <s v="DAIREL MENDOZA PEREZ (homologar sueldo)" u="1"/>
        <s v="LEONARDO DANIEL CRUZ CASTILLEJOS" u="1"/>
        <s v="LUIS SERGIO RAMIREZ HERNANDEZ" u="1"/>
      </sharedItems>
    </cacheField>
    <cacheField name="Sueldo Diario" numFmtId="43">
      <sharedItems containsSemiMixedTypes="0" containsString="0" containsNumber="1" minValue="166.66666666666666" maxValue="1000"/>
    </cacheField>
    <cacheField name="Salario Quincenal" numFmtId="43">
      <sharedItems containsSemiMixedTypes="0" containsString="0" containsNumber="1" containsInteger="1" minValue="2500" maxValue="15000"/>
    </cacheField>
    <cacheField name="Salario Mensual" numFmtId="43">
      <sharedItems containsSemiMixedTypes="0" containsString="0" containsNumber="1" containsInteger="1" minValue="5000" maxValue="30000"/>
    </cacheField>
    <cacheField name="Días trabajados" numFmtId="0">
      <sharedItems containsSemiMixedTypes="0" containsString="0" containsNumber="1" containsInteger="1" minValue="5" maxValue="17"/>
    </cacheField>
    <cacheField name="Faltas" numFmtId="0">
      <sharedItems containsString="0" containsBlank="1" containsNumber="1" containsInteger="1" minValue="2" maxValue="3"/>
    </cacheField>
    <cacheField name="Pago de deuda interna" numFmtId="44">
      <sharedItems containsString="0" containsBlank="1" containsNumber="1" minValue="400" maxValue="1000"/>
    </cacheField>
    <cacheField name="Retardos" numFmtId="0">
      <sharedItems containsString="0" containsBlank="1" containsNumber="1" minValue="50" maxValue="350"/>
    </cacheField>
    <cacheField name="Acciones correctivas" numFmtId="44">
      <sharedItems containsString="0" containsBlank="1" containsNumber="1" containsInteger="1" minValue="50" maxValue="350"/>
    </cacheField>
    <cacheField name="Pago de uniformes" numFmtId="44">
      <sharedItems containsString="0" containsBlank="1" containsNumber="1" containsInteger="1" minValue="135" maxValue="270"/>
    </cacheField>
    <cacheField name="EFECTIVO" numFmtId="43">
      <sharedItems containsString="0" containsBlank="1" containsNumber="1" minValue="580" maxValue="15000"/>
    </cacheField>
    <cacheField name="TARJETA" numFmtId="44">
      <sharedItems containsString="0" containsBlank="1" containsNumber="1" minValue="1566.06" maxValue="1896.42"/>
    </cacheField>
    <cacheField name="TOTAL" numFmtId="44">
      <sharedItems containsString="0" containsBlank="1" containsNumber="1" minValue="580" maxValue="1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CG" refreshedDate="43535.668853935182" createdVersion="5" refreshedVersion="5" minRefreshableVersion="3" recordCount="77">
  <cacheSource type="worksheet">
    <worksheetSource ref="B5:U84" sheet="MARZO"/>
  </cacheSource>
  <cacheFields count="17">
    <cacheField name="Sucursal" numFmtId="0">
      <sharedItems count="14">
        <s v="CORPORATIVO"/>
        <s v="LEON VILLAFLORES"/>
        <s v="LLANTERA 5A"/>
        <s v="LLANTERA 9A"/>
        <s v="PALMERAS"/>
        <s v="LIB. SUR"/>
        <s v="LEON 5TA"/>
        <s v="LAURELES"/>
        <s v="MATRIZ"/>
        <s v="ALMACEN MATRIZ"/>
        <s v="LEON 9A"/>
        <s v="ALMACEN LAURELES "/>
        <s v="MERCALTOS"/>
        <s v="SAN RAMON"/>
      </sharedItems>
    </cacheField>
    <cacheField name="Departamento" numFmtId="0">
      <sharedItems/>
    </cacheField>
    <cacheField name="Puesto" numFmtId="0">
      <sharedItems/>
    </cacheField>
    <cacheField name="Nombre" numFmtId="0">
      <sharedItems containsBlank="1"/>
    </cacheField>
    <cacheField name="Sueldo Diario" numFmtId="43">
      <sharedItems containsSemiMixedTypes="0" containsString="0" containsNumber="1" minValue="166.66666666666666" maxValue="1000"/>
    </cacheField>
    <cacheField name="Salario Quincenal" numFmtId="43">
      <sharedItems containsSemiMixedTypes="0" containsString="0" containsNumber="1" containsInteger="1" minValue="2500" maxValue="15000"/>
    </cacheField>
    <cacheField name="Salario Mensual" numFmtId="43">
      <sharedItems containsSemiMixedTypes="0" containsString="0" containsNumber="1" containsInteger="1" minValue="5000" maxValue="30000"/>
    </cacheField>
    <cacheField name="Días trabajados" numFmtId="0">
      <sharedItems containsString="0" containsBlank="1" containsNumber="1" containsInteger="1" minValue="0" maxValue="15"/>
    </cacheField>
    <cacheField name="Faltas" numFmtId="0">
      <sharedItems containsString="0" containsBlank="1" containsNumber="1" containsInteger="1" minValue="1" maxValue="2"/>
    </cacheField>
    <cacheField name="Pago de deuda interna" numFmtId="44">
      <sharedItems containsString="0" containsBlank="1" containsNumber="1" containsInteger="1" minValue="400" maxValue="1000"/>
    </cacheField>
    <cacheField name="Retardos" numFmtId="0">
      <sharedItems containsString="0" containsBlank="1" containsNumber="1" minValue="50" maxValue="466.67"/>
    </cacheField>
    <cacheField name="Acciones correctivas" numFmtId="44">
      <sharedItems containsString="0" containsBlank="1" containsNumber="1" containsInteger="1" minValue="50" maxValue="250"/>
    </cacheField>
    <cacheField name="Pago de uniformes" numFmtId="44">
      <sharedItems containsNonDate="0" containsString="0" containsBlank="1"/>
    </cacheField>
    <cacheField name="EFECTIVO" numFmtId="43">
      <sharedItems containsString="0" containsBlank="1" containsNumber="1" minValue="0" maxValue="15000"/>
    </cacheField>
    <cacheField name="TARJETA" numFmtId="44">
      <sharedItems containsString="0" containsBlank="1" containsNumber="1" minValue="1566.06" maxValue="1896.42"/>
    </cacheField>
    <cacheField name="TOTAL" numFmtId="44">
      <sharedItems containsString="0" containsBlank="1" containsNumber="1" minValue="0" maxValue="15000"/>
    </cacheField>
    <cacheField name="FIRM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CG" refreshedDate="43535.675133680554" createdVersion="5" refreshedVersion="5" minRefreshableVersion="3" recordCount="77">
  <cacheSource type="worksheet">
    <worksheetSource ref="B5:T84" sheet="MARZO"/>
  </cacheSource>
  <cacheFields count="16">
    <cacheField name="Sucursal" numFmtId="0">
      <sharedItems count="14">
        <s v="CORPORATIVO"/>
        <s v="LEON VILLAFLORES"/>
        <s v="LLANTERA 5A"/>
        <s v="LLANTERA 9A"/>
        <s v="PALMERAS"/>
        <s v="LIB. SUR"/>
        <s v="LEON 5TA"/>
        <s v="LAURELES"/>
        <s v="MATRIZ"/>
        <s v="ALMACEN MATRIZ"/>
        <s v="LEON 9A"/>
        <s v="ALMACEN LAURELES "/>
        <s v="MERCALTOS"/>
        <s v="SAN RAMON"/>
      </sharedItems>
    </cacheField>
    <cacheField name="Departamento" numFmtId="0">
      <sharedItems/>
    </cacheField>
    <cacheField name="Puesto" numFmtId="0">
      <sharedItems/>
    </cacheField>
    <cacheField name="Nombre" numFmtId="0">
      <sharedItems containsBlank="1"/>
    </cacheField>
    <cacheField name="Sueldo Diario" numFmtId="43">
      <sharedItems containsSemiMixedTypes="0" containsString="0" containsNumber="1" minValue="166.66666666666666" maxValue="1000"/>
    </cacheField>
    <cacheField name="Salario Quincenal" numFmtId="43">
      <sharedItems containsSemiMixedTypes="0" containsString="0" containsNumber="1" containsInteger="1" minValue="2500" maxValue="15000"/>
    </cacheField>
    <cacheField name="Salario Mensual" numFmtId="43">
      <sharedItems containsSemiMixedTypes="0" containsString="0" containsNumber="1" containsInteger="1" minValue="5000" maxValue="30000"/>
    </cacheField>
    <cacheField name="Días trabajados" numFmtId="0">
      <sharedItems containsString="0" containsBlank="1" containsNumber="1" containsInteger="1" minValue="0" maxValue="15"/>
    </cacheField>
    <cacheField name="Faltas" numFmtId="0">
      <sharedItems containsString="0" containsBlank="1" containsNumber="1" containsInteger="1" minValue="1" maxValue="2"/>
    </cacheField>
    <cacheField name="Pago de deuda interna" numFmtId="44">
      <sharedItems containsString="0" containsBlank="1" containsNumber="1" containsInteger="1" minValue="400" maxValue="1000"/>
    </cacheField>
    <cacheField name="Retardos" numFmtId="0">
      <sharedItems containsString="0" containsBlank="1" containsNumber="1" minValue="50" maxValue="466.67"/>
    </cacheField>
    <cacheField name="Acciones correctivas" numFmtId="44">
      <sharedItems containsString="0" containsBlank="1" containsNumber="1" containsInteger="1" minValue="50" maxValue="250"/>
    </cacheField>
    <cacheField name="Pago de uniformes" numFmtId="44">
      <sharedItems containsNonDate="0" containsString="0" containsBlank="1"/>
    </cacheField>
    <cacheField name="EFECTIVO" numFmtId="43">
      <sharedItems containsString="0" containsBlank="1" containsNumber="1" minValue="0" maxValue="15000"/>
    </cacheField>
    <cacheField name="TARJETA" numFmtId="44">
      <sharedItems containsString="0" containsBlank="1" containsNumber="1" minValue="1566.06" maxValue="1896.42"/>
    </cacheField>
    <cacheField name="TOTAL" numFmtId="44">
      <sharedItems containsString="0" containsBlank="1" containsNumber="1" minValue="0" maxValue="1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x v="0"/>
    <s v="ADMINISTRACION"/>
    <x v="0"/>
    <x v="0"/>
    <n v="1000"/>
    <n v="15000"/>
    <n v="30000"/>
    <n v="15"/>
    <m/>
    <m/>
    <m/>
    <m/>
    <m/>
    <n v="13103.58"/>
    <n v="1896.42"/>
    <n v="15000"/>
  </r>
  <r>
    <x v="0"/>
    <s v="ADMINISTRACION"/>
    <x v="1"/>
    <x v="1"/>
    <n v="1000"/>
    <n v="15000"/>
    <n v="30000"/>
    <n v="15"/>
    <m/>
    <m/>
    <m/>
    <m/>
    <m/>
    <n v="15000"/>
    <m/>
    <n v="15000"/>
  </r>
  <r>
    <x v="0"/>
    <s v="ADMINISTRACION"/>
    <x v="2"/>
    <x v="2"/>
    <n v="666.66666666666663"/>
    <n v="10000"/>
    <n v="20000"/>
    <n v="15"/>
    <m/>
    <m/>
    <m/>
    <m/>
    <m/>
    <n v="10000"/>
    <m/>
    <n v="10000"/>
  </r>
  <r>
    <x v="0"/>
    <s v="ADMINISTRACION"/>
    <x v="3"/>
    <x v="3"/>
    <n v="400"/>
    <n v="6000"/>
    <n v="12000"/>
    <n v="15"/>
    <m/>
    <m/>
    <m/>
    <m/>
    <m/>
    <n v="6000"/>
    <m/>
    <n v="6000"/>
  </r>
  <r>
    <x v="0"/>
    <s v="ADMINISTRACION"/>
    <x v="4"/>
    <x v="4"/>
    <n v="233.33333333333334"/>
    <n v="3500"/>
    <n v="7000"/>
    <n v="17"/>
    <m/>
    <m/>
    <m/>
    <m/>
    <m/>
    <n v="3966.666666666667"/>
    <m/>
    <n v="3966.666666666667"/>
  </r>
  <r>
    <x v="0"/>
    <s v="ADMINISTRACION"/>
    <x v="5"/>
    <x v="5"/>
    <n v="266.66666666666669"/>
    <n v="4000"/>
    <n v="8000"/>
    <n v="15"/>
    <m/>
    <m/>
    <m/>
    <m/>
    <m/>
    <n v="4000.0000000000005"/>
    <m/>
    <n v="4000.0000000000005"/>
  </r>
  <r>
    <x v="0"/>
    <s v="ADMINISTRACION"/>
    <x v="6"/>
    <x v="6"/>
    <n v="233.33333333333334"/>
    <n v="3500"/>
    <n v="7000"/>
    <n v="15"/>
    <m/>
    <m/>
    <m/>
    <m/>
    <m/>
    <n v="3500"/>
    <m/>
    <n v="3500"/>
  </r>
  <r>
    <x v="0"/>
    <s v="ADMINISTRACION"/>
    <x v="7"/>
    <x v="7"/>
    <n v="400"/>
    <n v="6000"/>
    <n v="12000"/>
    <n v="15"/>
    <m/>
    <n v="500"/>
    <m/>
    <m/>
    <m/>
    <n v="5500"/>
    <m/>
    <n v="5500"/>
  </r>
  <r>
    <x v="0"/>
    <s v="ADMINISTRACION"/>
    <x v="8"/>
    <x v="8"/>
    <n v="500"/>
    <n v="7500"/>
    <n v="15000"/>
    <n v="15"/>
    <m/>
    <m/>
    <m/>
    <m/>
    <m/>
    <n v="7500"/>
    <m/>
    <n v="7500"/>
  </r>
  <r>
    <x v="0"/>
    <s v="TI"/>
    <x v="9"/>
    <x v="9"/>
    <n v="833.33333333333337"/>
    <n v="12500"/>
    <n v="25000"/>
    <n v="15"/>
    <m/>
    <m/>
    <m/>
    <m/>
    <m/>
    <n v="10933.94"/>
    <n v="1566.06"/>
    <n v="12500"/>
  </r>
  <r>
    <x v="0"/>
    <s v="TI"/>
    <x v="10"/>
    <x v="10"/>
    <n v="266.66666666666669"/>
    <n v="4000"/>
    <n v="8000"/>
    <n v="15"/>
    <m/>
    <m/>
    <m/>
    <m/>
    <m/>
    <n v="2433.9400000000005"/>
    <n v="1566.06"/>
    <n v="4000.0000000000005"/>
  </r>
  <r>
    <x v="0"/>
    <s v="TI"/>
    <x v="11"/>
    <x v="11"/>
    <n v="333.33333333333331"/>
    <n v="5000"/>
    <n v="10000"/>
    <n v="15"/>
    <m/>
    <m/>
    <m/>
    <m/>
    <m/>
    <n v="3433.94"/>
    <n v="1566.06"/>
    <n v="5000"/>
  </r>
  <r>
    <x v="0"/>
    <s v="TI"/>
    <x v="12"/>
    <x v="12"/>
    <n v="266.66666666666669"/>
    <n v="4000"/>
    <n v="8000"/>
    <n v="9"/>
    <m/>
    <m/>
    <m/>
    <m/>
    <m/>
    <n v="2400"/>
    <m/>
    <n v="2400"/>
  </r>
  <r>
    <x v="1"/>
    <s v="ADMINISTRACION"/>
    <x v="13"/>
    <x v="13"/>
    <n v="266.66666666666669"/>
    <n v="4000"/>
    <n v="8000"/>
    <n v="15"/>
    <m/>
    <m/>
    <m/>
    <n v="50"/>
    <m/>
    <n v="3950.0000000000005"/>
    <m/>
    <n v="3950.0000000000005"/>
  </r>
  <r>
    <x v="1"/>
    <s v="OPERACIONES"/>
    <x v="14"/>
    <x v="14"/>
    <n v="240"/>
    <n v="3600"/>
    <n v="7200"/>
    <n v="15"/>
    <m/>
    <m/>
    <m/>
    <m/>
    <m/>
    <n v="2033.94"/>
    <n v="1566.06"/>
    <n v="3600"/>
  </r>
  <r>
    <x v="2"/>
    <s v="ADMINISTRACION"/>
    <x v="13"/>
    <x v="15"/>
    <n v="266.66666666666669"/>
    <n v="4000"/>
    <n v="8000"/>
    <n v="17"/>
    <m/>
    <m/>
    <m/>
    <n v="200"/>
    <n v="135"/>
    <n v="4198.3333333333339"/>
    <m/>
    <n v="4198.3333333333339"/>
  </r>
  <r>
    <x v="2"/>
    <s v="OPERACIONES"/>
    <x v="14"/>
    <x v="16"/>
    <n v="200"/>
    <n v="3000"/>
    <n v="6000"/>
    <n v="15"/>
    <m/>
    <m/>
    <m/>
    <n v="150"/>
    <m/>
    <n v="2850"/>
    <m/>
    <n v="2850"/>
  </r>
  <r>
    <x v="2"/>
    <s v="OPERACIONES"/>
    <x v="14"/>
    <x v="17"/>
    <n v="266.66666666666669"/>
    <n v="4000"/>
    <n v="8000"/>
    <n v="13"/>
    <n v="2"/>
    <m/>
    <n v="50"/>
    <m/>
    <m/>
    <n v="1850.606666666667"/>
    <n v="1566.06"/>
    <n v="3416.666666666667"/>
  </r>
  <r>
    <x v="3"/>
    <s v="ADMINISTRACION"/>
    <x v="13"/>
    <x v="18"/>
    <n v="266.66666666666669"/>
    <n v="4000"/>
    <n v="8000"/>
    <n v="15"/>
    <m/>
    <m/>
    <m/>
    <m/>
    <m/>
    <n v="2433.9400000000005"/>
    <n v="1566.06"/>
    <n v="4000.0000000000005"/>
  </r>
  <r>
    <x v="3"/>
    <s v="OPERACIONES"/>
    <x v="14"/>
    <x v="19"/>
    <n v="166.66666666666666"/>
    <n v="2500"/>
    <n v="5000"/>
    <n v="15"/>
    <m/>
    <m/>
    <m/>
    <m/>
    <m/>
    <n v="2500"/>
    <m/>
    <n v="2500"/>
  </r>
  <r>
    <x v="3"/>
    <s v="OPERACIONES"/>
    <x v="15"/>
    <x v="20"/>
    <n v="200"/>
    <n v="3000"/>
    <n v="6000"/>
    <n v="15"/>
    <m/>
    <m/>
    <m/>
    <m/>
    <m/>
    <n v="3000"/>
    <m/>
    <n v="3000"/>
  </r>
  <r>
    <x v="4"/>
    <s v="ADMINISTRACION"/>
    <x v="16"/>
    <x v="21"/>
    <n v="266.66666666666669"/>
    <n v="4000"/>
    <n v="8000"/>
    <n v="15"/>
    <m/>
    <m/>
    <n v="50"/>
    <m/>
    <n v="135"/>
    <n v="3815.0000000000005"/>
    <m/>
    <n v="3815.0000000000005"/>
  </r>
  <r>
    <x v="4"/>
    <s v="OPERACIONES"/>
    <x v="15"/>
    <x v="22"/>
    <n v="200"/>
    <n v="3000"/>
    <n v="6000"/>
    <n v="15"/>
    <m/>
    <n v="726.04"/>
    <n v="350"/>
    <m/>
    <m/>
    <n v="1923.96"/>
    <m/>
    <n v="1923.96"/>
  </r>
  <r>
    <x v="4"/>
    <s v="OPERACIONES"/>
    <x v="17"/>
    <x v="23"/>
    <n v="200"/>
    <n v="3000"/>
    <n v="6000"/>
    <n v="16"/>
    <m/>
    <m/>
    <n v="250"/>
    <m/>
    <m/>
    <n v="2950"/>
    <m/>
    <n v="2950"/>
  </r>
  <r>
    <x v="4"/>
    <s v="OPERACIONES"/>
    <x v="15"/>
    <x v="24"/>
    <n v="200"/>
    <n v="3000"/>
    <n v="6000"/>
    <n v="15"/>
    <m/>
    <m/>
    <m/>
    <m/>
    <m/>
    <n v="3000"/>
    <m/>
    <n v="3000"/>
  </r>
  <r>
    <x v="4"/>
    <s v="REPARTO"/>
    <x v="18"/>
    <x v="25"/>
    <n v="200"/>
    <n v="3000"/>
    <n v="6000"/>
    <n v="7"/>
    <m/>
    <n v="400"/>
    <n v="150"/>
    <m/>
    <n v="270"/>
    <n v="580"/>
    <m/>
    <n v="580"/>
  </r>
  <r>
    <x v="5"/>
    <s v="ADMINISTRACION"/>
    <x v="13"/>
    <x v="26"/>
    <n v="200"/>
    <n v="3000"/>
    <n v="6000"/>
    <n v="15"/>
    <m/>
    <m/>
    <m/>
    <n v="50"/>
    <m/>
    <n v="2950"/>
    <m/>
    <n v="2950"/>
  </r>
  <r>
    <x v="5"/>
    <s v="VENTAS"/>
    <x v="19"/>
    <x v="27"/>
    <n v="200"/>
    <n v="3000"/>
    <n v="6000"/>
    <n v="15"/>
    <m/>
    <m/>
    <m/>
    <m/>
    <n v="135"/>
    <n v="2865"/>
    <m/>
    <n v="2865"/>
  </r>
  <r>
    <x v="0"/>
    <s v="VENTAS"/>
    <x v="20"/>
    <x v="28"/>
    <n v="266.66666666666669"/>
    <n v="4000"/>
    <n v="8000"/>
    <n v="15"/>
    <m/>
    <n v="659"/>
    <m/>
    <m/>
    <n v="200"/>
    <n v="3141.0000000000005"/>
    <m/>
    <n v="3141.0000000000005"/>
  </r>
  <r>
    <x v="6"/>
    <s v="ADMINISTRACION"/>
    <x v="13"/>
    <x v="29"/>
    <n v="333.33333333333331"/>
    <n v="5000"/>
    <n v="10000"/>
    <n v="15"/>
    <m/>
    <n v="915.84"/>
    <m/>
    <m/>
    <m/>
    <n v="4084.16"/>
    <m/>
    <n v="4084.16"/>
  </r>
  <r>
    <x v="6"/>
    <s v="OPERACIONES"/>
    <x v="14"/>
    <x v="30"/>
    <n v="200"/>
    <n v="3000"/>
    <n v="6000"/>
    <n v="15"/>
    <m/>
    <m/>
    <m/>
    <m/>
    <m/>
    <n v="3000"/>
    <m/>
    <n v="3000"/>
  </r>
  <r>
    <x v="6"/>
    <s v="ADMINISTRACION"/>
    <x v="21"/>
    <x v="31"/>
    <n v="200"/>
    <n v="3000"/>
    <n v="6000"/>
    <n v="13"/>
    <n v="2"/>
    <n v="1000"/>
    <m/>
    <n v="50"/>
    <m/>
    <n v="1550"/>
    <m/>
    <n v="1550"/>
  </r>
  <r>
    <x v="7"/>
    <s v="VENTAS"/>
    <x v="17"/>
    <x v="32"/>
    <n v="200"/>
    <n v="3000"/>
    <n v="6000"/>
    <n v="12"/>
    <n v="3"/>
    <m/>
    <n v="200"/>
    <m/>
    <m/>
    <n v="2200"/>
    <m/>
    <n v="2200"/>
  </r>
  <r>
    <x v="6"/>
    <s v="VENTAS"/>
    <x v="17"/>
    <x v="33"/>
    <n v="200"/>
    <n v="3000"/>
    <n v="6000"/>
    <n v="12"/>
    <n v="3"/>
    <m/>
    <m/>
    <m/>
    <m/>
    <n v="2400"/>
    <m/>
    <n v="2400"/>
  </r>
  <r>
    <x v="6"/>
    <s v="OPERACIONES"/>
    <x v="15"/>
    <x v="34"/>
    <n v="200"/>
    <n v="3000"/>
    <n v="6000"/>
    <n v="13"/>
    <n v="2"/>
    <m/>
    <m/>
    <m/>
    <m/>
    <n v="2600"/>
    <m/>
    <n v="2600"/>
  </r>
  <r>
    <x v="6"/>
    <s v="VIGILANCIA"/>
    <x v="22"/>
    <x v="35"/>
    <n v="233.33333333333334"/>
    <n v="3500"/>
    <n v="7000"/>
    <n v="15"/>
    <m/>
    <m/>
    <m/>
    <m/>
    <m/>
    <n v="3500"/>
    <m/>
    <n v="3500"/>
  </r>
  <r>
    <x v="8"/>
    <s v="REPARTO"/>
    <x v="18"/>
    <x v="36"/>
    <n v="166.66666666666666"/>
    <n v="2500"/>
    <n v="5000"/>
    <n v="15"/>
    <m/>
    <m/>
    <m/>
    <m/>
    <m/>
    <n v="2500"/>
    <m/>
    <n v="2500"/>
  </r>
  <r>
    <x v="8"/>
    <s v="OPERACIONES"/>
    <x v="23"/>
    <x v="37"/>
    <n v="200"/>
    <n v="3000"/>
    <n v="6000"/>
    <n v="15"/>
    <m/>
    <m/>
    <m/>
    <m/>
    <m/>
    <n v="3000"/>
    <m/>
    <n v="3000"/>
  </r>
  <r>
    <x v="8"/>
    <s v="REPARTO"/>
    <x v="18"/>
    <x v="38"/>
    <n v="166.66666666666666"/>
    <n v="2500"/>
    <n v="5000"/>
    <n v="9"/>
    <m/>
    <m/>
    <m/>
    <m/>
    <n v="135"/>
    <n v="1365"/>
    <m/>
    <n v="1365"/>
  </r>
  <r>
    <x v="9"/>
    <s v="OPERACIONES"/>
    <x v="14"/>
    <x v="39"/>
    <n v="200"/>
    <n v="3000"/>
    <n v="6000"/>
    <n v="12"/>
    <n v="3"/>
    <m/>
    <m/>
    <m/>
    <n v="135"/>
    <n v="2265"/>
    <m/>
    <n v="2265"/>
  </r>
  <r>
    <x v="9"/>
    <s v="ADMINISTRACION"/>
    <x v="13"/>
    <x v="40"/>
    <n v="333.33333333333331"/>
    <n v="5000"/>
    <n v="10000"/>
    <n v="15"/>
    <m/>
    <m/>
    <n v="166.66"/>
    <m/>
    <m/>
    <n v="4833.34"/>
    <m/>
    <n v="4833.34"/>
  </r>
  <r>
    <x v="9"/>
    <s v="VENTAS"/>
    <x v="17"/>
    <x v="41"/>
    <n v="200"/>
    <n v="3000"/>
    <n v="6000"/>
    <n v="5"/>
    <m/>
    <m/>
    <m/>
    <m/>
    <m/>
    <m/>
    <m/>
    <m/>
  </r>
  <r>
    <x v="9"/>
    <s v="ADMINISTRACION"/>
    <x v="21"/>
    <x v="42"/>
    <n v="166.66666666666666"/>
    <n v="2500"/>
    <n v="5000"/>
    <n v="15"/>
    <m/>
    <m/>
    <m/>
    <n v="50"/>
    <m/>
    <n v="2450"/>
    <m/>
    <n v="2450"/>
  </r>
  <r>
    <x v="6"/>
    <s v="VENTAS"/>
    <x v="14"/>
    <x v="43"/>
    <n v="200"/>
    <n v="3000"/>
    <n v="6000"/>
    <n v="15"/>
    <m/>
    <m/>
    <n v="100"/>
    <m/>
    <m/>
    <n v="2900"/>
    <m/>
    <n v="2900"/>
  </r>
  <r>
    <x v="9"/>
    <s v="OPERACIONES"/>
    <x v="24"/>
    <x v="44"/>
    <n v="233.33333333333334"/>
    <n v="3500"/>
    <n v="7000"/>
    <n v="15"/>
    <m/>
    <n v="500"/>
    <m/>
    <m/>
    <n v="135"/>
    <n v="2865"/>
    <m/>
    <n v="2865"/>
  </r>
  <r>
    <x v="7"/>
    <s v="ALMACEN"/>
    <x v="22"/>
    <x v="45"/>
    <n v="233.33333333333334"/>
    <n v="3500"/>
    <n v="7000"/>
    <n v="15"/>
    <m/>
    <m/>
    <m/>
    <m/>
    <m/>
    <n v="3500"/>
    <m/>
    <n v="3500"/>
  </r>
  <r>
    <x v="10"/>
    <s v="ADMINISTRACION"/>
    <x v="13"/>
    <x v="46"/>
    <n v="266.66666666666669"/>
    <n v="4000"/>
    <n v="8000"/>
    <n v="12"/>
    <n v="3"/>
    <m/>
    <m/>
    <n v="50"/>
    <n v="200"/>
    <n v="2950"/>
    <m/>
    <n v="2950"/>
  </r>
  <r>
    <x v="4"/>
    <s v="OPERACIONES"/>
    <x v="14"/>
    <x v="47"/>
    <n v="200"/>
    <n v="3000"/>
    <n v="6000"/>
    <n v="15"/>
    <m/>
    <m/>
    <m/>
    <m/>
    <m/>
    <n v="3000"/>
    <m/>
    <n v="3000"/>
  </r>
  <r>
    <x v="10"/>
    <s v="OPERACIONES"/>
    <x v="14"/>
    <x v="48"/>
    <n v="200"/>
    <n v="3000"/>
    <n v="6000"/>
    <n v="15"/>
    <m/>
    <m/>
    <m/>
    <m/>
    <m/>
    <n v="3000"/>
    <m/>
    <n v="3000"/>
  </r>
  <r>
    <x v="7"/>
    <s v="ADMINISTRACION"/>
    <x v="13"/>
    <x v="49"/>
    <n v="266.66666666666669"/>
    <n v="4000"/>
    <n v="8000"/>
    <n v="11"/>
    <m/>
    <m/>
    <m/>
    <n v="50"/>
    <m/>
    <n v="2883.3333333333335"/>
    <m/>
    <n v="2883.3333333333335"/>
  </r>
  <r>
    <x v="7"/>
    <s v="OPERACIONES"/>
    <x v="15"/>
    <x v="50"/>
    <n v="200"/>
    <n v="3000"/>
    <n v="6000"/>
    <n v="15"/>
    <m/>
    <m/>
    <m/>
    <m/>
    <m/>
    <n v="3000"/>
    <m/>
    <n v="3000"/>
  </r>
  <r>
    <x v="7"/>
    <s v="OPERACIONES"/>
    <x v="14"/>
    <x v="51"/>
    <n v="266.66666666666669"/>
    <n v="4000"/>
    <n v="8000"/>
    <n v="13"/>
    <n v="2"/>
    <n v="600"/>
    <m/>
    <m/>
    <m/>
    <m/>
    <m/>
    <m/>
  </r>
  <r>
    <x v="7"/>
    <s v="ADMINISTRACION"/>
    <x v="21"/>
    <x v="52"/>
    <n v="166.66666666666666"/>
    <n v="2500"/>
    <n v="5000"/>
    <n v="6"/>
    <m/>
    <m/>
    <m/>
    <m/>
    <n v="135"/>
    <n v="865"/>
    <m/>
    <n v="865"/>
  </r>
  <r>
    <x v="7"/>
    <s v="OPERACIONES"/>
    <x v="15"/>
    <x v="53"/>
    <n v="266.66666666666669"/>
    <n v="4000"/>
    <n v="8000"/>
    <n v="15"/>
    <m/>
    <n v="500"/>
    <n v="50"/>
    <n v="50"/>
    <n v="135"/>
    <n v="3265.0000000000005"/>
    <m/>
    <n v="3265.0000000000005"/>
  </r>
  <r>
    <x v="11"/>
    <s v="OPERACIONES"/>
    <x v="25"/>
    <x v="54"/>
    <n v="400"/>
    <n v="6000"/>
    <n v="12000"/>
    <n v="15"/>
    <m/>
    <m/>
    <m/>
    <m/>
    <m/>
    <n v="6000"/>
    <m/>
    <n v="6000"/>
  </r>
  <r>
    <x v="11"/>
    <s v="ALMACEN"/>
    <x v="26"/>
    <x v="55"/>
    <n v="200"/>
    <n v="3000"/>
    <n v="6000"/>
    <n v="15"/>
    <m/>
    <m/>
    <m/>
    <m/>
    <m/>
    <n v="3000"/>
    <m/>
    <n v="3000"/>
  </r>
  <r>
    <x v="11"/>
    <s v="ALMACEN"/>
    <x v="27"/>
    <x v="56"/>
    <n v="200"/>
    <n v="3000"/>
    <n v="6000"/>
    <n v="15"/>
    <m/>
    <m/>
    <m/>
    <m/>
    <m/>
    <n v="3000"/>
    <m/>
    <n v="3000"/>
  </r>
  <r>
    <x v="11"/>
    <s v="REPARTO"/>
    <x v="18"/>
    <x v="57"/>
    <n v="200"/>
    <n v="3000"/>
    <n v="6000"/>
    <n v="15"/>
    <m/>
    <m/>
    <m/>
    <m/>
    <m/>
    <n v="3000"/>
    <m/>
    <n v="3000"/>
  </r>
  <r>
    <x v="11"/>
    <s v="REPARTO"/>
    <x v="18"/>
    <x v="58"/>
    <n v="200"/>
    <n v="3000"/>
    <n v="6000"/>
    <n v="15"/>
    <m/>
    <m/>
    <m/>
    <m/>
    <m/>
    <n v="3000"/>
    <m/>
    <n v="3000"/>
  </r>
  <r>
    <x v="12"/>
    <s v="ADMINISTRACION"/>
    <x v="13"/>
    <x v="59"/>
    <n v="333.33333333333331"/>
    <n v="5000"/>
    <n v="10000"/>
    <n v="15"/>
    <m/>
    <m/>
    <m/>
    <m/>
    <m/>
    <n v="5000"/>
    <m/>
    <n v="5000"/>
  </r>
  <r>
    <x v="12"/>
    <s v="OPERACIONES"/>
    <x v="28"/>
    <x v="60"/>
    <n v="166.66666666666666"/>
    <n v="2500"/>
    <n v="5000"/>
    <n v="15"/>
    <m/>
    <m/>
    <m/>
    <m/>
    <m/>
    <n v="2500"/>
    <m/>
    <n v="2500"/>
  </r>
  <r>
    <x v="12"/>
    <s v="VENTAS"/>
    <x v="17"/>
    <x v="61"/>
    <n v="200"/>
    <n v="3000"/>
    <n v="6000"/>
    <n v="15"/>
    <m/>
    <m/>
    <m/>
    <m/>
    <m/>
    <n v="3000"/>
    <m/>
    <n v="3000"/>
  </r>
  <r>
    <x v="12"/>
    <s v="VENTAS"/>
    <x v="14"/>
    <x v="62"/>
    <n v="166.66666666666666"/>
    <n v="2500"/>
    <n v="5000"/>
    <n v="15"/>
    <m/>
    <m/>
    <m/>
    <m/>
    <m/>
    <n v="2500"/>
    <m/>
    <n v="2500"/>
  </r>
  <r>
    <x v="12"/>
    <s v="OPERACIONES"/>
    <x v="15"/>
    <x v="63"/>
    <n v="183.33333333333334"/>
    <n v="2750"/>
    <n v="5500"/>
    <n v="15"/>
    <m/>
    <m/>
    <m/>
    <m/>
    <m/>
    <n v="2750"/>
    <m/>
    <n v="2750"/>
  </r>
  <r>
    <x v="12"/>
    <s v="ADMINISTRACION"/>
    <x v="21"/>
    <x v="64"/>
    <n v="183.33333333333334"/>
    <n v="2750"/>
    <n v="5500"/>
    <n v="15"/>
    <m/>
    <m/>
    <m/>
    <n v="50"/>
    <m/>
    <n v="2700"/>
    <m/>
    <n v="2700"/>
  </r>
  <r>
    <x v="13"/>
    <s v="ADMINISTRACION"/>
    <x v="13"/>
    <x v="65"/>
    <n v="333.33333333333331"/>
    <n v="5000"/>
    <n v="10000"/>
    <n v="15"/>
    <m/>
    <m/>
    <m/>
    <m/>
    <m/>
    <n v="5000"/>
    <m/>
    <n v="5000"/>
  </r>
  <r>
    <x v="13"/>
    <s v="VENTAS"/>
    <x v="15"/>
    <x v="66"/>
    <n v="200"/>
    <n v="3000"/>
    <n v="6000"/>
    <n v="15"/>
    <m/>
    <m/>
    <m/>
    <m/>
    <m/>
    <n v="3000"/>
    <m/>
    <n v="3000"/>
  </r>
  <r>
    <x v="13"/>
    <s v="VENTAS"/>
    <x v="17"/>
    <x v="67"/>
    <n v="166.66666666666666"/>
    <n v="2500"/>
    <n v="5000"/>
    <n v="15"/>
    <m/>
    <m/>
    <m/>
    <n v="350"/>
    <m/>
    <n v="2150"/>
    <m/>
    <n v="2150"/>
  </r>
  <r>
    <x v="13"/>
    <s v="OPERACIONES"/>
    <x v="28"/>
    <x v="68"/>
    <n v="216.66666666666666"/>
    <n v="3250"/>
    <n v="6500"/>
    <n v="15"/>
    <m/>
    <m/>
    <m/>
    <m/>
    <m/>
    <n v="3250"/>
    <m/>
    <n v="3250"/>
  </r>
  <r>
    <x v="13"/>
    <s v="OPERACIONES"/>
    <x v="14"/>
    <x v="69"/>
    <n v="166.66666666666666"/>
    <n v="2500"/>
    <n v="5000"/>
    <n v="15"/>
    <m/>
    <m/>
    <m/>
    <m/>
    <m/>
    <n v="2500"/>
    <m/>
    <n v="2500"/>
  </r>
  <r>
    <x v="13"/>
    <s v="VENTAS"/>
    <x v="17"/>
    <x v="70"/>
    <n v="200"/>
    <n v="3000"/>
    <n v="6000"/>
    <n v="15"/>
    <m/>
    <m/>
    <m/>
    <n v="50"/>
    <m/>
    <n v="2950"/>
    <m/>
    <n v="29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7">
  <r>
    <x v="0"/>
    <s v="ADMINISTRACION"/>
    <s v="PRESIDENTE EJECUTIVO"/>
    <s v="RAUL LEON LIMON"/>
    <n v="1000"/>
    <n v="15000"/>
    <n v="30000"/>
    <n v="15"/>
    <m/>
    <m/>
    <m/>
    <m/>
    <m/>
    <n v="13103.58"/>
    <n v="1896.42"/>
    <n v="15000"/>
    <m/>
  </r>
  <r>
    <x v="0"/>
    <s v="ADMINISTRACION"/>
    <s v="V.P. DE ADMINISTRACIÓN Y FINANZAS"/>
    <s v="LUISA MARIA RUIZ VARGAS"/>
    <n v="1000"/>
    <n v="15000"/>
    <n v="30000"/>
    <n v="15"/>
    <m/>
    <m/>
    <m/>
    <m/>
    <m/>
    <n v="15000"/>
    <m/>
    <n v="15000"/>
    <m/>
  </r>
  <r>
    <x v="0"/>
    <s v="ADMINISTRACION"/>
    <s v="DIRECCIÓN ESTRATÉGICA"/>
    <s v="VICTOR MANUEL PINTO CASTILLEJOS"/>
    <n v="666.66666666666663"/>
    <n v="10000"/>
    <n v="20000"/>
    <n v="15"/>
    <m/>
    <m/>
    <m/>
    <m/>
    <m/>
    <n v="10000"/>
    <m/>
    <n v="10000"/>
    <m/>
  </r>
  <r>
    <x v="0"/>
    <s v="ADMINISTRACION"/>
    <s v="GERENTE DE ADMINISTRACIÓN"/>
    <s v="JUAN CARLOS AGUILAR ANZA"/>
    <n v="500"/>
    <n v="7500"/>
    <n v="15000"/>
    <n v="15"/>
    <m/>
    <m/>
    <m/>
    <m/>
    <m/>
    <n v="7500"/>
    <m/>
    <n v="7500"/>
    <m/>
  </r>
  <r>
    <x v="0"/>
    <s v="ADMINISTRACION"/>
    <s v="ANALISTA DE EGRESOS"/>
    <s v="JORGE JOSÉ AGUILAR GUTIÉRREZ"/>
    <n v="233.33333333333334"/>
    <n v="3500"/>
    <n v="7000"/>
    <n v="15"/>
    <m/>
    <m/>
    <m/>
    <m/>
    <m/>
    <n v="3500"/>
    <m/>
    <n v="3500"/>
    <m/>
  </r>
  <r>
    <x v="0"/>
    <s v="ADMINISTRACION"/>
    <s v="ANALISTA DE INGRESOS"/>
    <s v="JESSICA CRISTIAN BAUTISTA GONZÁLEZ"/>
    <n v="266.66666666666669"/>
    <n v="4000"/>
    <n v="8000"/>
    <n v="15"/>
    <m/>
    <m/>
    <m/>
    <m/>
    <m/>
    <n v="4000.0000000000005"/>
    <m/>
    <n v="4000.0000000000005"/>
    <m/>
  </r>
  <r>
    <x v="0"/>
    <s v="ADMINISTRACION"/>
    <s v="ANALISTA DE RECURSOS HUMANOS"/>
    <s v="PAOLA SHAZEL ARCE MARÍN"/>
    <n v="233.33333333333334"/>
    <n v="3500"/>
    <n v="7000"/>
    <n v="15"/>
    <m/>
    <m/>
    <m/>
    <m/>
    <m/>
    <n v="3500"/>
    <m/>
    <n v="3500"/>
    <m/>
  </r>
  <r>
    <x v="0"/>
    <s v="ADMINISTRACION"/>
    <s v="GERENTE DE COMPRAS"/>
    <s v="LUIS ALBERTO LOPEZ HERNANDEZ"/>
    <n v="400"/>
    <n v="6000"/>
    <n v="12000"/>
    <n v="15"/>
    <m/>
    <n v="500"/>
    <m/>
    <m/>
    <m/>
    <n v="5500"/>
    <m/>
    <n v="5500"/>
    <m/>
  </r>
  <r>
    <x v="0"/>
    <s v="ADMINISTRACION"/>
    <s v="GERENTE OPERATIVO"/>
    <s v="ROGELIO ARMANDO DOMINGUEZ VIDAL"/>
    <n v="500"/>
    <n v="7500"/>
    <n v="15000"/>
    <n v="15"/>
    <m/>
    <m/>
    <m/>
    <m/>
    <m/>
    <n v="7500"/>
    <m/>
    <n v="7500"/>
    <m/>
  </r>
  <r>
    <x v="0"/>
    <s v="ADMINISTRACION"/>
    <s v="GERENTE DE VENTAS"/>
    <s v="HECTOR ESCOBAR FUENTES"/>
    <n v="400"/>
    <n v="6000"/>
    <n v="12000"/>
    <n v="10"/>
    <m/>
    <m/>
    <m/>
    <m/>
    <m/>
    <n v="4000"/>
    <m/>
    <n v="4000"/>
    <m/>
  </r>
  <r>
    <x v="0"/>
    <s v="TI"/>
    <s v="GERENTE DE TI"/>
    <s v="SERGIO DE JESUS ESTRADA AVELAR"/>
    <n v="833.33333333333337"/>
    <n v="12500"/>
    <n v="25000"/>
    <n v="15"/>
    <m/>
    <m/>
    <m/>
    <m/>
    <m/>
    <n v="10933.94"/>
    <n v="1566.06"/>
    <n v="12500"/>
    <m/>
  </r>
  <r>
    <x v="0"/>
    <s v="TI"/>
    <s v="SOPORTE OPERATIVO"/>
    <s v="LUIS ALFREDO MENDEZ SANCHEZ"/>
    <n v="266.66666666666669"/>
    <n v="4000"/>
    <n v="8000"/>
    <n v="15"/>
    <m/>
    <m/>
    <m/>
    <m/>
    <m/>
    <n v="2433.9400000000005"/>
    <n v="1566.06"/>
    <n v="4000.0000000000005"/>
    <m/>
  </r>
  <r>
    <x v="0"/>
    <s v="TI"/>
    <s v="DESARROLLO"/>
    <s v="CARLOS ALBERTO CULEBRO ESQUINCA"/>
    <n v="333.33333333333331"/>
    <n v="5000"/>
    <n v="10000"/>
    <n v="15"/>
    <m/>
    <m/>
    <m/>
    <m/>
    <m/>
    <n v="3433.94"/>
    <n v="1566.06"/>
    <n v="5000"/>
    <m/>
  </r>
  <r>
    <x v="0"/>
    <s v="TI"/>
    <s v="COMMUNITY MANAGER"/>
    <s v="MARCO ANTONIO NATAREN LOPEZ"/>
    <n v="266.66666666666669"/>
    <n v="4000"/>
    <n v="8000"/>
    <n v="15"/>
    <m/>
    <m/>
    <m/>
    <m/>
    <m/>
    <n v="4000.0000000000005"/>
    <m/>
    <n v="4000.0000000000005"/>
    <m/>
  </r>
  <r>
    <x v="0"/>
    <s v="MANTENIMIENTO"/>
    <s v="JEFE DE MANTENIMIENTO"/>
    <s v="SERGIO ALEXANDER HERNANDEZ PEREZ"/>
    <n v="266.66666666666669"/>
    <n v="4000"/>
    <n v="8000"/>
    <n v="5"/>
    <m/>
    <m/>
    <m/>
    <m/>
    <m/>
    <n v="1333.3333333333335"/>
    <m/>
    <n v="1333.3333333333335"/>
    <m/>
  </r>
  <r>
    <x v="0"/>
    <s v="MANTENIMIENTO"/>
    <s v="AUXILIAR DE MANTENIMIENTO"/>
    <m/>
    <n v="200"/>
    <n v="3000"/>
    <n v="6000"/>
    <n v="0"/>
    <m/>
    <m/>
    <m/>
    <m/>
    <m/>
    <n v="0"/>
    <m/>
    <n v="0"/>
    <m/>
  </r>
  <r>
    <x v="1"/>
    <s v="ADMINISTRACION"/>
    <s v="JEFE DE SUCURSAL"/>
    <s v="DIANA ALICIA RESENDIZ HERRERA "/>
    <n v="266.66666666666669"/>
    <n v="4000"/>
    <n v="8000"/>
    <n v="15"/>
    <m/>
    <m/>
    <m/>
    <m/>
    <m/>
    <n v="4000.0000000000005"/>
    <m/>
    <n v="4000.0000000000005"/>
    <m/>
  </r>
  <r>
    <x v="1"/>
    <s v="OPERACIONES"/>
    <s v="INSTALADOR"/>
    <s v="FRANCISCO ARCOS ALVARO"/>
    <n v="240"/>
    <n v="3600"/>
    <n v="7200"/>
    <n v="15"/>
    <m/>
    <m/>
    <m/>
    <m/>
    <m/>
    <n v="2033.94"/>
    <n v="1566.06"/>
    <n v="3600"/>
    <m/>
  </r>
  <r>
    <x v="1"/>
    <s v="OPERACIONES"/>
    <s v="INSTALADOR"/>
    <s v="ANTONIO DE JESUS AGUILAR DURANTE "/>
    <n v="200"/>
    <n v="3000"/>
    <n v="6000"/>
    <m/>
    <m/>
    <m/>
    <m/>
    <m/>
    <m/>
    <m/>
    <m/>
    <m/>
    <m/>
  </r>
  <r>
    <x v="2"/>
    <s v="ADMINISTRACION"/>
    <s v="JEFE DE SUCURSAL"/>
    <s v="ANDRES ALEJANDRO ORTIZ GUILLEN"/>
    <n v="266.66666666666669"/>
    <n v="4000"/>
    <n v="8000"/>
    <n v="15"/>
    <m/>
    <m/>
    <m/>
    <n v="103"/>
    <m/>
    <n v="3897.0000000000005"/>
    <m/>
    <n v="3897.0000000000005"/>
    <m/>
  </r>
  <r>
    <x v="3"/>
    <s v="OPERACIONES"/>
    <s v="INSTALADOR"/>
    <s v="EDUARDO DE JESÚS HERNÁNDEZ GUTIÉRREZ"/>
    <n v="200"/>
    <n v="3000"/>
    <n v="6000"/>
    <n v="15"/>
    <m/>
    <m/>
    <m/>
    <n v="250"/>
    <m/>
    <n v="2750"/>
    <m/>
    <n v="2750"/>
    <m/>
  </r>
  <r>
    <x v="4"/>
    <s v="ADMINISTRACION"/>
    <s v="JEFE DE SUCURSAL"/>
    <s v="GLADYS JANETH PEREZ PEREZ"/>
    <n v="266.66666666666669"/>
    <n v="4000"/>
    <n v="8000"/>
    <n v="14"/>
    <m/>
    <m/>
    <n v="200"/>
    <m/>
    <m/>
    <n v="3533.3333333333335"/>
    <m/>
    <n v="3533.3333333333335"/>
    <m/>
  </r>
  <r>
    <x v="4"/>
    <s v="OPERACIONES"/>
    <s v="INSTALADOR"/>
    <s v="ARBEY DE JESUS RAMIREZ ESPINOSA"/>
    <n v="266.66666666666669"/>
    <n v="4000"/>
    <n v="8000"/>
    <n v="14"/>
    <n v="1"/>
    <m/>
    <m/>
    <m/>
    <m/>
    <n v="2167.2733333333335"/>
    <n v="1566.06"/>
    <n v="3733.3333333333335"/>
    <m/>
  </r>
  <r>
    <x v="4"/>
    <s v="ADMINISTRACION"/>
    <s v="JEFE DE SUCURSAL"/>
    <s v="HORACIO JAVIER RUIZ RUIZ "/>
    <n v="266.67"/>
    <n v="4000"/>
    <n v="8000"/>
    <n v="8"/>
    <m/>
    <m/>
    <m/>
    <m/>
    <m/>
    <m/>
    <m/>
    <m/>
    <m/>
  </r>
  <r>
    <x v="3"/>
    <s v="ADMINISTRACION"/>
    <s v="JEFE DE SUCURSAL"/>
    <s v="MARISOL NARCIA PEREZ"/>
    <n v="266.66666666666669"/>
    <n v="4000"/>
    <n v="8000"/>
    <n v="15"/>
    <m/>
    <m/>
    <m/>
    <n v="50"/>
    <m/>
    <n v="2383.9400000000005"/>
    <n v="1566.06"/>
    <n v="3950.0000000000005"/>
    <m/>
  </r>
  <r>
    <x v="5"/>
    <s v="OPERACIONES"/>
    <s v="INSTALADOR"/>
    <s v="JONATHAN FRANCISCO TREJO VAZQUEZ"/>
    <n v="166.66666666666666"/>
    <n v="2500"/>
    <n v="5000"/>
    <n v="15"/>
    <m/>
    <m/>
    <m/>
    <m/>
    <m/>
    <n v="2500"/>
    <m/>
    <n v="2500"/>
    <m/>
  </r>
  <r>
    <x v="3"/>
    <s v="ADMINISTRACION"/>
    <s v="JEFE DE SUCURSAL"/>
    <s v="JORGE HENRRY MENDEZ VAZQUEZ "/>
    <n v="266.66666666666669"/>
    <n v="4000"/>
    <n v="8000"/>
    <n v="10"/>
    <m/>
    <m/>
    <m/>
    <m/>
    <m/>
    <m/>
    <m/>
    <m/>
    <m/>
  </r>
  <r>
    <x v="3"/>
    <s v="OPERACIONES"/>
    <s v="ALINEADOR"/>
    <s v="NICOLÁS GÓMEZ PÉREZ"/>
    <n v="200"/>
    <n v="3000"/>
    <n v="6000"/>
    <n v="15"/>
    <m/>
    <m/>
    <m/>
    <m/>
    <m/>
    <n v="3000"/>
    <m/>
    <n v="3000"/>
    <m/>
  </r>
  <r>
    <x v="2"/>
    <s v="ADMINISTRACION"/>
    <s v="JEFE DE SUCURSAL- BAJA 02-03-19"/>
    <s v="CRISTIAN RODRIGUEZ ARMAS"/>
    <n v="266.66666666666669"/>
    <n v="4000"/>
    <n v="8000"/>
    <n v="0"/>
    <m/>
    <m/>
    <m/>
    <m/>
    <m/>
    <n v="0"/>
    <m/>
    <m/>
    <m/>
  </r>
  <r>
    <x v="2"/>
    <s v="OPERACIONES"/>
    <s v="ALINEADOR"/>
    <s v="JOSUE VAZQUEZ JIMENEZ"/>
    <n v="200"/>
    <n v="3000"/>
    <n v="6000"/>
    <n v="15"/>
    <m/>
    <n v="565"/>
    <n v="50"/>
    <m/>
    <m/>
    <n v="2385"/>
    <m/>
    <n v="2385"/>
    <m/>
  </r>
  <r>
    <x v="2"/>
    <s v="OPERACIONES"/>
    <s v="VENDEDOR"/>
    <s v="JOSE FRANCISCO ALBORES MARTINEZ"/>
    <n v="200"/>
    <n v="3000"/>
    <n v="6000"/>
    <n v="15"/>
    <m/>
    <m/>
    <m/>
    <m/>
    <m/>
    <n v="3000"/>
    <m/>
    <n v="3000"/>
    <m/>
  </r>
  <r>
    <x v="2"/>
    <s v="OPERACIONES"/>
    <s v="ALINEADOR"/>
    <s v="JOSE MIGUEL GOMEZ PEREZ"/>
    <n v="200"/>
    <n v="3000"/>
    <n v="6000"/>
    <n v="13"/>
    <n v="2"/>
    <m/>
    <n v="50"/>
    <m/>
    <m/>
    <n v="2550"/>
    <m/>
    <n v="2550"/>
    <m/>
  </r>
  <r>
    <x v="6"/>
    <s v="ADMINISTRACION"/>
    <s v="JEFE DE SUCURSAL"/>
    <s v="NELVY SELENE FONSECA LEÓN"/>
    <n v="200"/>
    <n v="3000"/>
    <n v="6000"/>
    <n v="15"/>
    <m/>
    <m/>
    <m/>
    <m/>
    <m/>
    <n v="3000"/>
    <m/>
    <n v="3000"/>
    <m/>
  </r>
  <r>
    <x v="6"/>
    <s v="VENTAS"/>
    <s v="INSTALADOR"/>
    <s v="BRAULIO EDUARDO GOMEZ ZAMBRANO"/>
    <n v="200"/>
    <n v="3000"/>
    <n v="6000"/>
    <n v="15"/>
    <m/>
    <m/>
    <m/>
    <m/>
    <m/>
    <n v="3000"/>
    <m/>
    <n v="3000"/>
    <m/>
  </r>
  <r>
    <x v="6"/>
    <s v="VENTAS"/>
    <s v="VENDEDOR "/>
    <s v="DANTE LEON GONZALEZ"/>
    <n v="200"/>
    <n v="3000"/>
    <n v="6000"/>
    <n v="6"/>
    <m/>
    <m/>
    <m/>
    <m/>
    <m/>
    <n v="1200"/>
    <m/>
    <n v="1200"/>
    <m/>
  </r>
  <r>
    <x v="6"/>
    <s v="VENTAS"/>
    <s v="JEFE DE SUCURSAL"/>
    <s v="SILVANA LEON GONZALEZ"/>
    <n v="266.66666666666669"/>
    <n v="4000"/>
    <n v="8000"/>
    <n v="15"/>
    <m/>
    <m/>
    <m/>
    <m/>
    <m/>
    <n v="4000.0000000000005"/>
    <m/>
    <n v="4000.0000000000005"/>
    <m/>
  </r>
  <r>
    <x v="5"/>
    <s v="ADMINISTRACION"/>
    <s v="JEFE DE SUCURSAL"/>
    <s v="OMAR ARTURO MARTINEZ MARROQUIN"/>
    <n v="333.33333333333331"/>
    <n v="5000"/>
    <n v="10000"/>
    <n v="15"/>
    <m/>
    <m/>
    <m/>
    <n v="100"/>
    <m/>
    <n v="4900"/>
    <m/>
    <n v="4900"/>
    <m/>
  </r>
  <r>
    <x v="5"/>
    <s v="OPERACIONES"/>
    <s v="INSTALADOR"/>
    <s v="FRANKLIN RODELI AGUILAR PÉREZ"/>
    <n v="233.33333333333334"/>
    <n v="3500"/>
    <n v="7000"/>
    <n v="15"/>
    <m/>
    <m/>
    <m/>
    <m/>
    <m/>
    <n v="3500"/>
    <m/>
    <n v="3500"/>
    <m/>
  </r>
  <r>
    <x v="5"/>
    <s v="ADMINISTRACION"/>
    <s v="CAJERA"/>
    <s v="YURITZI YASMIN GRAJALES MENDEZ"/>
    <n v="200"/>
    <n v="3000"/>
    <n v="6000"/>
    <n v="14"/>
    <n v="1"/>
    <n v="1000"/>
    <m/>
    <m/>
    <m/>
    <n v="1800"/>
    <m/>
    <n v="1800"/>
    <m/>
  </r>
  <r>
    <x v="7"/>
    <s v="VENTAS"/>
    <s v="VENDEDOR"/>
    <s v="ERICK ABENAMAR GARCIA FONSECA"/>
    <n v="200"/>
    <n v="3000"/>
    <n v="6000"/>
    <n v="15"/>
    <m/>
    <m/>
    <n v="100"/>
    <m/>
    <m/>
    <n v="2900"/>
    <m/>
    <n v="2900"/>
    <m/>
  </r>
  <r>
    <x v="5"/>
    <s v="OPERACIONES"/>
    <s v="ALINEADOR"/>
    <s v="BEILER ENRIQUE REYES HERNANDEZ"/>
    <n v="200"/>
    <n v="3000"/>
    <n v="6000"/>
    <n v="15"/>
    <m/>
    <m/>
    <m/>
    <m/>
    <m/>
    <n v="3000"/>
    <m/>
    <n v="3000"/>
    <m/>
  </r>
  <r>
    <x v="5"/>
    <s v="VENTAS "/>
    <s v="CAJERA "/>
    <s v="FLOR DE GABRIELA HERNANDEZ HERNANDEZ "/>
    <n v="166.67"/>
    <n v="2500"/>
    <n v="5000"/>
    <n v="7"/>
    <m/>
    <m/>
    <m/>
    <m/>
    <m/>
    <m/>
    <m/>
    <m/>
    <m/>
  </r>
  <r>
    <x v="5"/>
    <s v="VIGILANCIA"/>
    <s v="VELADOR"/>
    <s v="JESUS HERNANDEZ PEREZ"/>
    <n v="233.33333333333334"/>
    <n v="3500"/>
    <n v="7000"/>
    <n v="15"/>
    <m/>
    <m/>
    <m/>
    <m/>
    <m/>
    <n v="3500"/>
    <m/>
    <n v="3500"/>
    <m/>
  </r>
  <r>
    <x v="8"/>
    <s v="REPARTO"/>
    <s v="INSTALADOR"/>
    <s v="OMAR EZEQUIEL TREJO SANCHEZ"/>
    <n v="166.66666666666666"/>
    <n v="2500"/>
    <n v="5000"/>
    <n v="15"/>
    <m/>
    <m/>
    <m/>
    <m/>
    <m/>
    <n v="2500"/>
    <m/>
    <n v="2500"/>
    <m/>
  </r>
  <r>
    <x v="9"/>
    <s v="OPERACIONES"/>
    <s v="JEFE DE ALMACEN COLISIÓN"/>
    <s v="SERGIO ENRIQUE OJEDA TORRES"/>
    <n v="200"/>
    <n v="3000"/>
    <n v="6000"/>
    <n v="15"/>
    <m/>
    <m/>
    <m/>
    <m/>
    <m/>
    <n v="3000"/>
    <m/>
    <n v="3000"/>
    <m/>
  </r>
  <r>
    <x v="9"/>
    <s v="REPARTO"/>
    <s v="CHOFER"/>
    <s v="JONATHAN SANCHES MENDEZ"/>
    <n v="166.66666666666666"/>
    <n v="2500"/>
    <n v="5000"/>
    <n v="15"/>
    <m/>
    <m/>
    <m/>
    <m/>
    <m/>
    <n v="2500"/>
    <m/>
    <n v="2500"/>
    <m/>
  </r>
  <r>
    <x v="8"/>
    <s v="ADMINISTRACION"/>
    <s v="JEFE DE SUCURSAL"/>
    <s v="LUIS ALBERTO DELFIN GARCIA"/>
    <n v="333.33333333333331"/>
    <n v="5000"/>
    <n v="10000"/>
    <n v="15"/>
    <m/>
    <m/>
    <m/>
    <m/>
    <m/>
    <n v="5000"/>
    <m/>
    <n v="5000"/>
    <m/>
  </r>
  <r>
    <x v="8"/>
    <s v="ADMINISTRACION"/>
    <s v="CAJERA"/>
    <s v="ANA KAREN VELAZQUEZ COELLO"/>
    <n v="166.66666666666666"/>
    <n v="2500"/>
    <n v="5000"/>
    <n v="15"/>
    <m/>
    <m/>
    <m/>
    <m/>
    <m/>
    <n v="2500"/>
    <m/>
    <n v="2500"/>
    <m/>
  </r>
  <r>
    <x v="5"/>
    <s v="VENTAS"/>
    <s v="INSTALADOR"/>
    <s v="MARCOS ALEXIS SANCHEZ RODRIGUEZ"/>
    <n v="200"/>
    <n v="3000"/>
    <n v="6000"/>
    <n v="15"/>
    <m/>
    <m/>
    <m/>
    <m/>
    <m/>
    <n v="3000"/>
    <m/>
    <n v="3000"/>
    <m/>
  </r>
  <r>
    <x v="8"/>
    <s v="OPERACIONES"/>
    <s v="INSTALADOR "/>
    <s v="LUIS ANDRES DEL VILLAR GARCIA "/>
    <n v="233.33333333333334"/>
    <n v="3500"/>
    <n v="7000"/>
    <n v="14"/>
    <n v="1"/>
    <n v="800"/>
    <m/>
    <m/>
    <m/>
    <n v="2466.666666666667"/>
    <m/>
    <n v="2466.666666666667"/>
    <m/>
  </r>
  <r>
    <x v="7"/>
    <s v="ALMACEN"/>
    <s v="VELADOR"/>
    <s v="MARCO ANTONIO JUÁREZ GÓMEZ"/>
    <n v="233.33333333333334"/>
    <n v="3500"/>
    <n v="7000"/>
    <n v="15"/>
    <m/>
    <m/>
    <m/>
    <m/>
    <m/>
    <n v="3500"/>
    <m/>
    <n v="3500"/>
    <m/>
  </r>
  <r>
    <x v="10"/>
    <s v="ADMINISTRACION"/>
    <s v="JEFE DE SUCURSAL"/>
    <s v="ALEJANDRA VALENCIA JIMENEZ"/>
    <n v="266.66666666666669"/>
    <n v="4000"/>
    <n v="8000"/>
    <n v="15"/>
    <m/>
    <m/>
    <n v="466.67"/>
    <n v="100"/>
    <m/>
    <n v="3433.3300000000004"/>
    <m/>
    <n v="3433.3300000000004"/>
    <m/>
  </r>
  <r>
    <x v="2"/>
    <s v="OPERACIONES"/>
    <s v="INSTALADOR"/>
    <s v="RUBEN ALEJANDRO RÍOS VÁZQUEZ"/>
    <n v="200"/>
    <n v="3000"/>
    <n v="6000"/>
    <n v="15"/>
    <m/>
    <m/>
    <m/>
    <m/>
    <m/>
    <n v="3000"/>
    <m/>
    <n v="3000"/>
    <m/>
  </r>
  <r>
    <x v="10"/>
    <s v="OPERACIONES"/>
    <s v="INSTALADOR"/>
    <s v="JUAN AUDELI ELIAS GARCIA"/>
    <n v="200"/>
    <n v="3000"/>
    <n v="6000"/>
    <n v="15"/>
    <m/>
    <m/>
    <m/>
    <m/>
    <m/>
    <n v="3000"/>
    <m/>
    <n v="3000"/>
    <m/>
  </r>
  <r>
    <x v="7"/>
    <s v="ADMINISTRACION"/>
    <s v="JEFE DE SUCURSAL"/>
    <s v="PATRICK ANDRÉS GRAJALES ZAMBRANO"/>
    <n v="266.66666666666669"/>
    <n v="4000"/>
    <n v="8000"/>
    <n v="15"/>
    <m/>
    <m/>
    <m/>
    <n v="100"/>
    <m/>
    <n v="3900.0000000000005"/>
    <m/>
    <n v="3900.0000000000005"/>
    <m/>
  </r>
  <r>
    <x v="7"/>
    <s v="OPERACIONES"/>
    <s v="ALINEADOR"/>
    <s v="DAVID SANTIZ LOPEZ"/>
    <n v="200"/>
    <n v="3000"/>
    <n v="6000"/>
    <n v="15"/>
    <m/>
    <m/>
    <m/>
    <m/>
    <m/>
    <n v="3000"/>
    <m/>
    <n v="3000"/>
    <m/>
  </r>
  <r>
    <x v="7"/>
    <s v="ADMINISTRACION"/>
    <s v="CAJERA"/>
    <s v="NICTE YULISSA RODRIGUEZ MONTEJO "/>
    <n v="166.66666666666666"/>
    <n v="2500"/>
    <n v="5000"/>
    <n v="11"/>
    <m/>
    <m/>
    <m/>
    <m/>
    <m/>
    <n v="1833.3333333333333"/>
    <m/>
    <n v="1833.3333333333333"/>
    <m/>
  </r>
  <r>
    <x v="7"/>
    <s v="ADMINISTRACION"/>
    <s v="CAJERA"/>
    <s v="LAURA LUCIA MARTINEZ ALFARO "/>
    <n v="166.66666666666666"/>
    <n v="2500"/>
    <n v="5000"/>
    <n v="7"/>
    <m/>
    <m/>
    <m/>
    <m/>
    <m/>
    <n v="1166.6666666666665"/>
    <m/>
    <n v="1166.6666666666665"/>
    <m/>
  </r>
  <r>
    <x v="7"/>
    <s v="OPERACIONES"/>
    <s v="ALINEADOR"/>
    <s v="EDEL REGINO GARCIA MAZARIEGOS"/>
    <n v="266.66666666666669"/>
    <n v="4000"/>
    <n v="8000"/>
    <n v="15"/>
    <m/>
    <n v="400"/>
    <m/>
    <m/>
    <m/>
    <n v="3600.0000000000005"/>
    <m/>
    <n v="3600.0000000000005"/>
    <m/>
  </r>
  <r>
    <x v="11"/>
    <s v="OPERACIONES"/>
    <s v="JEFE DE ALMACEN"/>
    <s v="LUIS MIGUEL AVENDAÑO OVANDO "/>
    <n v="400"/>
    <n v="6000"/>
    <n v="12000"/>
    <n v="15"/>
    <m/>
    <m/>
    <m/>
    <m/>
    <m/>
    <n v="6000"/>
    <m/>
    <n v="6000"/>
    <m/>
  </r>
  <r>
    <x v="11"/>
    <s v="ALMACEN"/>
    <s v="AUXILIAR DE LLANTAS Y ACCESORIOS"/>
    <s v="ARMANDO CAMACHO OZUNA"/>
    <n v="200"/>
    <n v="3000"/>
    <n v="6000"/>
    <n v="15"/>
    <m/>
    <m/>
    <m/>
    <m/>
    <m/>
    <n v="3000"/>
    <m/>
    <n v="3000"/>
    <m/>
  </r>
  <r>
    <x v="4"/>
    <s v="ALMACEN"/>
    <s v="VENDEDOR"/>
    <s v="ROGER ANDRES DOMINGUEZ CRUZ"/>
    <n v="200"/>
    <n v="3000"/>
    <n v="6000"/>
    <n v="15"/>
    <m/>
    <m/>
    <m/>
    <m/>
    <m/>
    <n v="3000"/>
    <m/>
    <n v="3000"/>
    <m/>
  </r>
  <r>
    <x v="11"/>
    <s v="REPARTO"/>
    <s v="CHOFER"/>
    <s v="HORACIO MANUEL LOPEZ VALLES"/>
    <n v="200"/>
    <n v="3000"/>
    <n v="6000"/>
    <n v="15"/>
    <m/>
    <m/>
    <m/>
    <m/>
    <m/>
    <n v="3000"/>
    <m/>
    <n v="3000"/>
    <m/>
  </r>
  <r>
    <x v="11"/>
    <s v="REPARTO"/>
    <s v="CHOFER"/>
    <s v="DAIREL MENDOZA PEREZ"/>
    <n v="200"/>
    <n v="3000"/>
    <n v="6000"/>
    <n v="15"/>
    <m/>
    <m/>
    <m/>
    <m/>
    <m/>
    <n v="3000"/>
    <m/>
    <n v="3000"/>
    <m/>
  </r>
  <r>
    <x v="11"/>
    <s v="REPARTO"/>
    <s v="CHOFER"/>
    <s v="MANUEL ALEJANDRO HERNANDEZ DIAZ "/>
    <n v="166.67"/>
    <n v="5000"/>
    <n v="10000"/>
    <n v="10"/>
    <m/>
    <m/>
    <m/>
    <m/>
    <m/>
    <m/>
    <m/>
    <m/>
    <m/>
  </r>
  <r>
    <x v="12"/>
    <s v="ADMINISTRACION"/>
    <s v="JEFE DE SUCURSAL"/>
    <s v="JOSE DE JESUS RAMOS DIAZ"/>
    <n v="333.33333333333331"/>
    <n v="5000"/>
    <n v="10000"/>
    <n v="15"/>
    <m/>
    <m/>
    <m/>
    <n v="100"/>
    <m/>
    <n v="4900"/>
    <m/>
    <n v="4900"/>
    <m/>
  </r>
  <r>
    <x v="12"/>
    <s v="OPERACIONES"/>
    <s v="ALMACENISTA"/>
    <s v="RANGEL GOMEZ TORRES"/>
    <n v="166.66666666666666"/>
    <n v="2500"/>
    <n v="5000"/>
    <n v="15"/>
    <m/>
    <m/>
    <m/>
    <m/>
    <m/>
    <n v="2500"/>
    <m/>
    <n v="2500"/>
    <m/>
  </r>
  <r>
    <x v="12"/>
    <s v="VENTAS"/>
    <s v="VENDEDOR"/>
    <s v="JUAN MANUEL SANCHEZ MOO"/>
    <n v="200"/>
    <n v="3000"/>
    <n v="6000"/>
    <n v="15"/>
    <m/>
    <m/>
    <m/>
    <m/>
    <m/>
    <n v="3000"/>
    <m/>
    <n v="3000"/>
    <m/>
  </r>
  <r>
    <x v="12"/>
    <s v="VENTAS"/>
    <s v="INSTALADOR"/>
    <s v="VICTOR HERNANDEZ GOMEZ"/>
    <n v="166.66666666666666"/>
    <n v="2500"/>
    <n v="5000"/>
    <n v="15"/>
    <m/>
    <m/>
    <m/>
    <m/>
    <m/>
    <n v="2500"/>
    <m/>
    <n v="2500"/>
    <m/>
  </r>
  <r>
    <x v="12"/>
    <s v="OPERACIONES"/>
    <s v="ALINEADOR"/>
    <s v="LORENZO SANCHEZ GONZALEZ"/>
    <n v="183.33333333333334"/>
    <n v="2750"/>
    <n v="5500"/>
    <n v="15"/>
    <m/>
    <m/>
    <m/>
    <m/>
    <m/>
    <n v="2750"/>
    <m/>
    <n v="2750"/>
    <m/>
  </r>
  <r>
    <x v="12"/>
    <s v="ADMINISTRACION"/>
    <s v="CAJERA"/>
    <s v="JESSICA MARLITH HERNANDEZ VELAZCO"/>
    <n v="183.33333333333334"/>
    <n v="2750"/>
    <n v="5500"/>
    <n v="15"/>
    <m/>
    <m/>
    <m/>
    <m/>
    <m/>
    <n v="2750"/>
    <m/>
    <n v="2750"/>
    <m/>
  </r>
  <r>
    <x v="13"/>
    <s v="ADMINISTRACION"/>
    <s v="JEFE DE SUCURSAL"/>
    <s v="JUAN MIGUEL MORALES SANCHEZ"/>
    <n v="333.33333333333331"/>
    <n v="5000"/>
    <n v="10000"/>
    <n v="15"/>
    <m/>
    <m/>
    <m/>
    <m/>
    <m/>
    <n v="5000"/>
    <m/>
    <n v="5000"/>
    <m/>
  </r>
  <r>
    <x v="13"/>
    <s v="VENTAS"/>
    <s v="ALINEADOR"/>
    <s v="LUIS FERNANDO ALVAREZ SANCHEZ"/>
    <n v="200"/>
    <n v="3000"/>
    <n v="6000"/>
    <n v="15"/>
    <m/>
    <m/>
    <m/>
    <m/>
    <m/>
    <n v="3000"/>
    <m/>
    <n v="3000"/>
    <m/>
  </r>
  <r>
    <x v="13"/>
    <s v="VENTAS"/>
    <s v="VENDEDOR"/>
    <s v="BENITO DE JESUS JUAREZ CRUZ"/>
    <n v="166.66666666666666"/>
    <n v="2500"/>
    <n v="5000"/>
    <n v="15"/>
    <m/>
    <m/>
    <m/>
    <m/>
    <m/>
    <n v="2500"/>
    <m/>
    <n v="2500"/>
    <m/>
  </r>
  <r>
    <x v="13"/>
    <s v="OPERACIONES"/>
    <s v="ALMACENISTA"/>
    <s v="JOSE FRANCISCO RUIZ ROMAN"/>
    <n v="216.66666666666666"/>
    <n v="3250"/>
    <n v="6500"/>
    <n v="15"/>
    <m/>
    <m/>
    <m/>
    <m/>
    <m/>
    <n v="3250"/>
    <m/>
    <n v="3250"/>
    <m/>
  </r>
  <r>
    <x v="13"/>
    <s v="OPERACIONES"/>
    <s v="INSTALADOR"/>
    <s v="JUAN GOMEZ GOMEZ"/>
    <n v="166.66666666666666"/>
    <n v="2500"/>
    <n v="5000"/>
    <n v="15"/>
    <m/>
    <m/>
    <m/>
    <m/>
    <m/>
    <n v="2500"/>
    <m/>
    <n v="2500"/>
    <m/>
  </r>
  <r>
    <x v="13"/>
    <s v="VENTAS"/>
    <s v="VENDEDOR"/>
    <s v="MATI GOMEZ PEREZ"/>
    <n v="200"/>
    <n v="3000"/>
    <n v="6000"/>
    <n v="15"/>
    <m/>
    <m/>
    <m/>
    <m/>
    <m/>
    <n v="3000"/>
    <m/>
    <n v="3000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7">
  <r>
    <x v="0"/>
    <s v="ADMINISTRACION"/>
    <s v="PRESIDENTE EJECUTIVO"/>
    <s v="RAUL LEON LIMON"/>
    <n v="1000"/>
    <n v="15000"/>
    <n v="30000"/>
    <n v="15"/>
    <m/>
    <m/>
    <m/>
    <m/>
    <m/>
    <n v="13103.58"/>
    <n v="1896.42"/>
    <n v="15000"/>
  </r>
  <r>
    <x v="0"/>
    <s v="ADMINISTRACION"/>
    <s v="V.P. DE ADMINISTRACIÓN Y FINANZAS"/>
    <s v="LUISA MARIA RUIZ VARGAS"/>
    <n v="1000"/>
    <n v="15000"/>
    <n v="30000"/>
    <n v="15"/>
    <m/>
    <m/>
    <m/>
    <m/>
    <m/>
    <n v="15000"/>
    <m/>
    <n v="15000"/>
  </r>
  <r>
    <x v="0"/>
    <s v="ADMINISTRACION"/>
    <s v="DIRECCIÓN ESTRATÉGICA"/>
    <s v="VICTOR MANUEL PINTO CASTILLEJOS"/>
    <n v="666.66666666666663"/>
    <n v="10000"/>
    <n v="20000"/>
    <n v="15"/>
    <m/>
    <m/>
    <m/>
    <m/>
    <m/>
    <n v="10000"/>
    <m/>
    <n v="10000"/>
  </r>
  <r>
    <x v="0"/>
    <s v="ADMINISTRACION"/>
    <s v="GERENTE DE ADMINISTRACIÓN"/>
    <s v="JUAN CARLOS AGUILAR ANZA"/>
    <n v="500"/>
    <n v="7500"/>
    <n v="15000"/>
    <n v="15"/>
    <m/>
    <m/>
    <m/>
    <m/>
    <m/>
    <n v="7500"/>
    <m/>
    <n v="7500"/>
  </r>
  <r>
    <x v="0"/>
    <s v="ADMINISTRACION"/>
    <s v="ANALISTA DE EGRESOS"/>
    <s v="JORGE JOSÉ AGUILAR GUTIÉRREZ"/>
    <n v="233.33333333333334"/>
    <n v="3500"/>
    <n v="7000"/>
    <n v="15"/>
    <m/>
    <m/>
    <m/>
    <m/>
    <m/>
    <n v="3500"/>
    <m/>
    <n v="3500"/>
  </r>
  <r>
    <x v="0"/>
    <s v="ADMINISTRACION"/>
    <s v="ANALISTA DE INGRESOS"/>
    <s v="JESSICA CRISTIAN BAUTISTA GONZÁLEZ"/>
    <n v="266.66666666666669"/>
    <n v="4000"/>
    <n v="8000"/>
    <n v="15"/>
    <m/>
    <m/>
    <m/>
    <m/>
    <m/>
    <n v="4000.0000000000005"/>
    <m/>
    <n v="4000.0000000000005"/>
  </r>
  <r>
    <x v="0"/>
    <s v="ADMINISTRACION"/>
    <s v="ANALISTA DE RECURSOS HUMANOS"/>
    <s v="PAOLA SHAZEL ARCE MARÍN"/>
    <n v="233.33333333333334"/>
    <n v="3500"/>
    <n v="7000"/>
    <n v="15"/>
    <m/>
    <m/>
    <m/>
    <m/>
    <m/>
    <n v="3500"/>
    <m/>
    <n v="3500"/>
  </r>
  <r>
    <x v="0"/>
    <s v="ADMINISTRACION"/>
    <s v="GERENTE DE COMPRAS"/>
    <s v="LUIS ALBERTO LOPEZ HERNANDEZ"/>
    <n v="400"/>
    <n v="6000"/>
    <n v="12000"/>
    <n v="15"/>
    <m/>
    <n v="500"/>
    <m/>
    <m/>
    <m/>
    <n v="5500"/>
    <m/>
    <n v="5500"/>
  </r>
  <r>
    <x v="0"/>
    <s v="ADMINISTRACION"/>
    <s v="GERENTE OPERATIVO"/>
    <s v="ROGELIO ARMANDO DOMINGUEZ VIDAL"/>
    <n v="500"/>
    <n v="7500"/>
    <n v="15000"/>
    <n v="15"/>
    <m/>
    <m/>
    <m/>
    <m/>
    <m/>
    <n v="7500"/>
    <m/>
    <n v="7500"/>
  </r>
  <r>
    <x v="0"/>
    <s v="ADMINISTRACION"/>
    <s v="GERENTE DE VENTAS"/>
    <s v="HECTOR ESCOBAR FUENTES"/>
    <n v="400"/>
    <n v="6000"/>
    <n v="12000"/>
    <n v="10"/>
    <m/>
    <m/>
    <m/>
    <m/>
    <m/>
    <n v="4000"/>
    <m/>
    <n v="4000"/>
  </r>
  <r>
    <x v="0"/>
    <s v="TI"/>
    <s v="GERENTE DE TI"/>
    <s v="SERGIO DE JESUS ESTRADA AVELAR"/>
    <n v="833.33333333333337"/>
    <n v="12500"/>
    <n v="25000"/>
    <n v="15"/>
    <m/>
    <m/>
    <m/>
    <m/>
    <m/>
    <n v="10933.94"/>
    <n v="1566.06"/>
    <n v="12500"/>
  </r>
  <r>
    <x v="0"/>
    <s v="TI"/>
    <s v="SOPORTE OPERATIVO"/>
    <s v="LUIS ALFREDO MENDEZ SANCHEZ"/>
    <n v="266.66666666666669"/>
    <n v="4000"/>
    <n v="8000"/>
    <n v="15"/>
    <m/>
    <m/>
    <m/>
    <m/>
    <m/>
    <n v="2433.9400000000005"/>
    <n v="1566.06"/>
    <n v="4000.0000000000005"/>
  </r>
  <r>
    <x v="0"/>
    <s v="TI"/>
    <s v="DESARROLLO"/>
    <s v="CARLOS ALBERTO CULEBRO ESQUINCA"/>
    <n v="333.33333333333331"/>
    <n v="5000"/>
    <n v="10000"/>
    <n v="15"/>
    <m/>
    <m/>
    <m/>
    <m/>
    <m/>
    <n v="3433.94"/>
    <n v="1566.06"/>
    <n v="5000"/>
  </r>
  <r>
    <x v="0"/>
    <s v="TI"/>
    <s v="COMMUNITY MANAGER"/>
    <s v="MARCO ANTONIO NATAREN LOPEZ"/>
    <n v="266.66666666666669"/>
    <n v="4000"/>
    <n v="8000"/>
    <n v="15"/>
    <m/>
    <m/>
    <m/>
    <m/>
    <m/>
    <n v="4000.0000000000005"/>
    <m/>
    <n v="4000.0000000000005"/>
  </r>
  <r>
    <x v="0"/>
    <s v="MANTENIMIENTO"/>
    <s v="JEFE DE MANTENIMIENTO"/>
    <s v="SERGIO ALEXANDER HERNANDEZ PEREZ"/>
    <n v="266.66666666666669"/>
    <n v="4000"/>
    <n v="8000"/>
    <n v="5"/>
    <m/>
    <m/>
    <m/>
    <m/>
    <m/>
    <n v="1333.3333333333335"/>
    <m/>
    <n v="1333.3333333333335"/>
  </r>
  <r>
    <x v="0"/>
    <s v="MANTENIMIENTO"/>
    <s v="AUXILIAR DE MANTENIMIENTO"/>
    <m/>
    <n v="200"/>
    <n v="3000"/>
    <n v="6000"/>
    <n v="0"/>
    <m/>
    <m/>
    <m/>
    <m/>
    <m/>
    <n v="0"/>
    <m/>
    <n v="0"/>
  </r>
  <r>
    <x v="1"/>
    <s v="ADMINISTRACION"/>
    <s v="JEFE DE SUCURSAL"/>
    <s v="DIANA ALICIA RESENDIZ HERRERA "/>
    <n v="266.66666666666669"/>
    <n v="4000"/>
    <n v="8000"/>
    <n v="15"/>
    <m/>
    <m/>
    <m/>
    <m/>
    <m/>
    <n v="4000.0000000000005"/>
    <m/>
    <n v="4000.0000000000005"/>
  </r>
  <r>
    <x v="1"/>
    <s v="OPERACIONES"/>
    <s v="INSTALADOR"/>
    <s v="FRANCISCO ARCOS ALVARO"/>
    <n v="240"/>
    <n v="3600"/>
    <n v="7200"/>
    <n v="15"/>
    <m/>
    <m/>
    <m/>
    <m/>
    <m/>
    <n v="2033.94"/>
    <n v="1566.06"/>
    <n v="3600"/>
  </r>
  <r>
    <x v="1"/>
    <s v="OPERACIONES"/>
    <s v="INSTALADOR"/>
    <s v="ANTONIO DE JESUS AGUILAR DURANTE "/>
    <n v="200"/>
    <n v="3000"/>
    <n v="6000"/>
    <m/>
    <m/>
    <m/>
    <m/>
    <m/>
    <m/>
    <m/>
    <m/>
    <m/>
  </r>
  <r>
    <x v="2"/>
    <s v="ADMINISTRACION"/>
    <s v="JEFE DE SUCURSAL"/>
    <s v="ANDRES ALEJANDRO ORTIZ GUILLEN"/>
    <n v="266.66666666666669"/>
    <n v="4000"/>
    <n v="8000"/>
    <n v="15"/>
    <m/>
    <m/>
    <m/>
    <n v="103"/>
    <m/>
    <n v="3897.0000000000005"/>
    <m/>
    <n v="3897.0000000000005"/>
  </r>
  <r>
    <x v="3"/>
    <s v="OPERACIONES"/>
    <s v="INSTALADOR"/>
    <s v="EDUARDO DE JESÚS HERNÁNDEZ GUTIÉRREZ"/>
    <n v="200"/>
    <n v="3000"/>
    <n v="6000"/>
    <n v="15"/>
    <m/>
    <m/>
    <m/>
    <n v="250"/>
    <m/>
    <n v="2750"/>
    <m/>
    <n v="2750"/>
  </r>
  <r>
    <x v="4"/>
    <s v="ADMINISTRACION"/>
    <s v="JEFE DE SUCURSAL"/>
    <s v="GLADYS JANETH PEREZ PEREZ"/>
    <n v="266.66666666666669"/>
    <n v="4000"/>
    <n v="8000"/>
    <n v="14"/>
    <m/>
    <m/>
    <n v="200"/>
    <m/>
    <m/>
    <n v="3533.3333333333335"/>
    <m/>
    <n v="3533.3333333333335"/>
  </r>
  <r>
    <x v="4"/>
    <s v="OPERACIONES"/>
    <s v="INSTALADOR"/>
    <s v="ARBEY DE JESUS RAMIREZ ESPINOSA"/>
    <n v="266.66666666666669"/>
    <n v="4000"/>
    <n v="8000"/>
    <n v="14"/>
    <n v="1"/>
    <m/>
    <m/>
    <m/>
    <m/>
    <n v="2167.2733333333335"/>
    <n v="1566.06"/>
    <n v="3733.3333333333335"/>
  </r>
  <r>
    <x v="4"/>
    <s v="ADMINISTRACION"/>
    <s v="JEFE DE SUCURSAL"/>
    <s v="HORACIO JAVIER RUIZ RUIZ "/>
    <n v="266.67"/>
    <n v="4000"/>
    <n v="8000"/>
    <n v="8"/>
    <m/>
    <m/>
    <m/>
    <m/>
    <m/>
    <m/>
    <m/>
    <m/>
  </r>
  <r>
    <x v="3"/>
    <s v="ADMINISTRACION"/>
    <s v="JEFE DE SUCURSAL"/>
    <s v="MARISOL NARCIA PEREZ"/>
    <n v="266.66666666666669"/>
    <n v="4000"/>
    <n v="8000"/>
    <n v="15"/>
    <m/>
    <m/>
    <m/>
    <n v="50"/>
    <m/>
    <n v="2383.9400000000005"/>
    <n v="1566.06"/>
    <n v="3950.0000000000005"/>
  </r>
  <r>
    <x v="5"/>
    <s v="OPERACIONES"/>
    <s v="INSTALADOR"/>
    <s v="JONATHAN FRANCISCO TREJO VAZQUEZ"/>
    <n v="166.66666666666666"/>
    <n v="2500"/>
    <n v="5000"/>
    <n v="15"/>
    <m/>
    <m/>
    <m/>
    <m/>
    <m/>
    <n v="2500"/>
    <m/>
    <n v="2500"/>
  </r>
  <r>
    <x v="3"/>
    <s v="ADMINISTRACION"/>
    <s v="JEFE DE SUCURSAL"/>
    <s v="JORGE HENRRY MENDEZ VAZQUEZ "/>
    <n v="266.66666666666669"/>
    <n v="4000"/>
    <n v="8000"/>
    <n v="10"/>
    <m/>
    <m/>
    <m/>
    <m/>
    <m/>
    <m/>
    <m/>
    <m/>
  </r>
  <r>
    <x v="3"/>
    <s v="OPERACIONES"/>
    <s v="ALINEADOR"/>
    <s v="NICOLÁS GÓMEZ PÉREZ"/>
    <n v="200"/>
    <n v="3000"/>
    <n v="6000"/>
    <n v="15"/>
    <m/>
    <m/>
    <m/>
    <m/>
    <m/>
    <n v="3000"/>
    <m/>
    <n v="3000"/>
  </r>
  <r>
    <x v="2"/>
    <s v="ADMINISTRACION"/>
    <s v="JEFE DE SUCURSAL- BAJA 02-03-19"/>
    <s v="CRISTIAN RODRIGUEZ ARMAS"/>
    <n v="266.66666666666669"/>
    <n v="4000"/>
    <n v="8000"/>
    <n v="0"/>
    <m/>
    <m/>
    <m/>
    <m/>
    <m/>
    <n v="0"/>
    <m/>
    <m/>
  </r>
  <r>
    <x v="2"/>
    <s v="OPERACIONES"/>
    <s v="ALINEADOR"/>
    <s v="JOSUE VAZQUEZ JIMENEZ"/>
    <n v="200"/>
    <n v="3000"/>
    <n v="6000"/>
    <n v="15"/>
    <m/>
    <n v="565"/>
    <n v="50"/>
    <m/>
    <m/>
    <n v="2385"/>
    <m/>
    <n v="2385"/>
  </r>
  <r>
    <x v="2"/>
    <s v="OPERACIONES"/>
    <s v="VENDEDOR"/>
    <s v="JOSE FRANCISCO ALBORES MARTINEZ"/>
    <n v="200"/>
    <n v="3000"/>
    <n v="6000"/>
    <n v="15"/>
    <m/>
    <m/>
    <m/>
    <m/>
    <m/>
    <n v="3000"/>
    <m/>
    <n v="3000"/>
  </r>
  <r>
    <x v="2"/>
    <s v="OPERACIONES"/>
    <s v="ALINEADOR"/>
    <s v="JOSE MIGUEL GOMEZ PEREZ"/>
    <n v="200"/>
    <n v="3000"/>
    <n v="6000"/>
    <n v="13"/>
    <n v="2"/>
    <m/>
    <n v="50"/>
    <m/>
    <m/>
    <n v="2550"/>
    <m/>
    <n v="2550"/>
  </r>
  <r>
    <x v="6"/>
    <s v="ADMINISTRACION"/>
    <s v="JEFE DE SUCURSAL"/>
    <s v="NELVY SELENE FONSECA LEÓN"/>
    <n v="200"/>
    <n v="3000"/>
    <n v="6000"/>
    <n v="15"/>
    <m/>
    <m/>
    <m/>
    <m/>
    <m/>
    <n v="3000"/>
    <m/>
    <n v="3000"/>
  </r>
  <r>
    <x v="6"/>
    <s v="VENTAS"/>
    <s v="INSTALADOR"/>
    <s v="BRAULIO EDUARDO GOMEZ ZAMBRANO"/>
    <n v="200"/>
    <n v="3000"/>
    <n v="6000"/>
    <n v="15"/>
    <m/>
    <m/>
    <m/>
    <m/>
    <m/>
    <n v="3000"/>
    <m/>
    <n v="3000"/>
  </r>
  <r>
    <x v="6"/>
    <s v="VENTAS"/>
    <s v="VENDEDOR "/>
    <s v="DANTE LEON GONZALEZ"/>
    <n v="200"/>
    <n v="3000"/>
    <n v="6000"/>
    <n v="6"/>
    <m/>
    <m/>
    <m/>
    <m/>
    <m/>
    <n v="1200"/>
    <m/>
    <n v="1200"/>
  </r>
  <r>
    <x v="6"/>
    <s v="VENTAS"/>
    <s v="JEFE DE SUCURSAL"/>
    <s v="SILVANA LEON GONZALEZ"/>
    <n v="266.66666666666669"/>
    <n v="4000"/>
    <n v="8000"/>
    <n v="15"/>
    <m/>
    <m/>
    <m/>
    <m/>
    <m/>
    <n v="4000.0000000000005"/>
    <m/>
    <n v="4000.0000000000005"/>
  </r>
  <r>
    <x v="5"/>
    <s v="ADMINISTRACION"/>
    <s v="JEFE DE SUCURSAL"/>
    <s v="OMAR ARTURO MARTINEZ MARROQUIN"/>
    <n v="333.33333333333331"/>
    <n v="5000"/>
    <n v="10000"/>
    <n v="15"/>
    <m/>
    <m/>
    <m/>
    <n v="100"/>
    <m/>
    <n v="4900"/>
    <m/>
    <n v="4900"/>
  </r>
  <r>
    <x v="5"/>
    <s v="OPERACIONES"/>
    <s v="INSTALADOR"/>
    <s v="FRANKLIN RODELI AGUILAR PÉREZ"/>
    <n v="233.33333333333334"/>
    <n v="3500"/>
    <n v="7000"/>
    <n v="15"/>
    <m/>
    <m/>
    <m/>
    <m/>
    <m/>
    <n v="3500"/>
    <m/>
    <n v="3500"/>
  </r>
  <r>
    <x v="5"/>
    <s v="ADMINISTRACION"/>
    <s v="CAJERA"/>
    <s v="YURITZI YASMIN GRAJALES MENDEZ"/>
    <n v="200"/>
    <n v="3000"/>
    <n v="6000"/>
    <n v="14"/>
    <n v="1"/>
    <n v="1000"/>
    <m/>
    <m/>
    <m/>
    <n v="1800"/>
    <m/>
    <n v="1800"/>
  </r>
  <r>
    <x v="7"/>
    <s v="VENTAS"/>
    <s v="VENDEDOR"/>
    <s v="ERICK ABENAMAR GARCIA FONSECA"/>
    <n v="200"/>
    <n v="3000"/>
    <n v="6000"/>
    <n v="15"/>
    <m/>
    <m/>
    <n v="100"/>
    <m/>
    <m/>
    <n v="2900"/>
    <m/>
    <n v="2900"/>
  </r>
  <r>
    <x v="5"/>
    <s v="OPERACIONES"/>
    <s v="ALINEADOR"/>
    <s v="BEILER ENRIQUE REYES HERNANDEZ"/>
    <n v="200"/>
    <n v="3000"/>
    <n v="6000"/>
    <n v="15"/>
    <m/>
    <m/>
    <m/>
    <m/>
    <m/>
    <n v="3000"/>
    <m/>
    <n v="3000"/>
  </r>
  <r>
    <x v="5"/>
    <s v="VENTAS "/>
    <s v="CAJERA "/>
    <s v="FLOR DE GABRIELA HERNANDEZ HERNANDEZ "/>
    <n v="166.67"/>
    <n v="2500"/>
    <n v="5000"/>
    <n v="7"/>
    <m/>
    <m/>
    <m/>
    <m/>
    <m/>
    <m/>
    <m/>
    <m/>
  </r>
  <r>
    <x v="5"/>
    <s v="VIGILANCIA"/>
    <s v="VELADOR"/>
    <s v="JESUS HERNANDEZ PEREZ"/>
    <n v="233.33333333333334"/>
    <n v="3500"/>
    <n v="7000"/>
    <n v="15"/>
    <m/>
    <m/>
    <m/>
    <m/>
    <m/>
    <n v="3500"/>
    <m/>
    <n v="3500"/>
  </r>
  <r>
    <x v="8"/>
    <s v="REPARTO"/>
    <s v="INSTALADOR"/>
    <s v="OMAR EZEQUIEL TREJO SANCHEZ"/>
    <n v="166.66666666666666"/>
    <n v="2500"/>
    <n v="5000"/>
    <n v="15"/>
    <m/>
    <m/>
    <m/>
    <m/>
    <m/>
    <n v="2500"/>
    <m/>
    <n v="2500"/>
  </r>
  <r>
    <x v="9"/>
    <s v="OPERACIONES"/>
    <s v="JEFE DE ALMACEN COLISIÓN"/>
    <s v="SERGIO ENRIQUE OJEDA TORRES"/>
    <n v="200"/>
    <n v="3000"/>
    <n v="6000"/>
    <n v="15"/>
    <m/>
    <m/>
    <m/>
    <m/>
    <m/>
    <n v="3000"/>
    <m/>
    <n v="3000"/>
  </r>
  <r>
    <x v="9"/>
    <s v="REPARTO"/>
    <s v="CHOFER"/>
    <s v="JONATHAN SANCHES MENDEZ"/>
    <n v="166.66666666666666"/>
    <n v="2500"/>
    <n v="5000"/>
    <n v="15"/>
    <m/>
    <m/>
    <m/>
    <m/>
    <m/>
    <n v="2500"/>
    <m/>
    <n v="2500"/>
  </r>
  <r>
    <x v="8"/>
    <s v="ADMINISTRACION"/>
    <s v="JEFE DE SUCURSAL"/>
    <s v="LUIS ALBERTO DELFIN GARCIA"/>
    <n v="333.33333333333331"/>
    <n v="5000"/>
    <n v="10000"/>
    <n v="15"/>
    <m/>
    <m/>
    <m/>
    <m/>
    <m/>
    <n v="5000"/>
    <m/>
    <n v="5000"/>
  </r>
  <r>
    <x v="8"/>
    <s v="ADMINISTRACION"/>
    <s v="CAJERA"/>
    <s v="ANA KAREN VELAZQUEZ COELLO"/>
    <n v="166.66666666666666"/>
    <n v="2500"/>
    <n v="5000"/>
    <n v="15"/>
    <m/>
    <m/>
    <m/>
    <m/>
    <m/>
    <n v="2500"/>
    <m/>
    <n v="2500"/>
  </r>
  <r>
    <x v="5"/>
    <s v="VENTAS"/>
    <s v="INSTALADOR"/>
    <s v="MARCOS ALEXIS SANCHEZ RODRIGUEZ"/>
    <n v="200"/>
    <n v="3000"/>
    <n v="6000"/>
    <n v="15"/>
    <m/>
    <m/>
    <m/>
    <m/>
    <m/>
    <n v="3000"/>
    <m/>
    <n v="3000"/>
  </r>
  <r>
    <x v="8"/>
    <s v="OPERACIONES"/>
    <s v="INSTALADOR "/>
    <s v="LUIS ANDRES DEL VILLAR GARCIA "/>
    <n v="233.33333333333334"/>
    <n v="3500"/>
    <n v="7000"/>
    <n v="14"/>
    <n v="1"/>
    <n v="800"/>
    <m/>
    <m/>
    <m/>
    <n v="2466.666666666667"/>
    <m/>
    <n v="2466.666666666667"/>
  </r>
  <r>
    <x v="7"/>
    <s v="ALMACEN"/>
    <s v="VELADOR"/>
    <s v="MARCO ANTONIO JUÁREZ GÓMEZ"/>
    <n v="233.33333333333334"/>
    <n v="3500"/>
    <n v="7000"/>
    <n v="15"/>
    <m/>
    <m/>
    <m/>
    <m/>
    <m/>
    <n v="3500"/>
    <m/>
    <n v="3500"/>
  </r>
  <r>
    <x v="10"/>
    <s v="ADMINISTRACION"/>
    <s v="JEFE DE SUCURSAL"/>
    <s v="ALEJANDRA VALENCIA JIMENEZ"/>
    <n v="266.66666666666669"/>
    <n v="4000"/>
    <n v="8000"/>
    <n v="15"/>
    <m/>
    <m/>
    <n v="466.67"/>
    <n v="100"/>
    <m/>
    <n v="3433.3300000000004"/>
    <m/>
    <n v="3433.3300000000004"/>
  </r>
  <r>
    <x v="2"/>
    <s v="OPERACIONES"/>
    <s v="INSTALADOR"/>
    <s v="RUBEN ALEJANDRO RÍOS VÁZQUEZ"/>
    <n v="200"/>
    <n v="3000"/>
    <n v="6000"/>
    <n v="15"/>
    <m/>
    <m/>
    <m/>
    <m/>
    <m/>
    <n v="3000"/>
    <m/>
    <n v="3000"/>
  </r>
  <r>
    <x v="10"/>
    <s v="OPERACIONES"/>
    <s v="INSTALADOR"/>
    <s v="JUAN AUDELI ELIAS GARCIA"/>
    <n v="200"/>
    <n v="3000"/>
    <n v="6000"/>
    <n v="15"/>
    <m/>
    <m/>
    <m/>
    <m/>
    <m/>
    <n v="3000"/>
    <m/>
    <n v="3000"/>
  </r>
  <r>
    <x v="7"/>
    <s v="ADMINISTRACION"/>
    <s v="JEFE DE SUCURSAL"/>
    <s v="PATRICK ANDRÉS GRAJALES ZAMBRANO"/>
    <n v="266.66666666666669"/>
    <n v="4000"/>
    <n v="8000"/>
    <n v="15"/>
    <m/>
    <m/>
    <m/>
    <n v="100"/>
    <m/>
    <n v="3900.0000000000005"/>
    <m/>
    <n v="3900.0000000000005"/>
  </r>
  <r>
    <x v="7"/>
    <s v="OPERACIONES"/>
    <s v="ALINEADOR"/>
    <s v="DAVID SANTIZ LOPEZ"/>
    <n v="200"/>
    <n v="3000"/>
    <n v="6000"/>
    <n v="15"/>
    <m/>
    <m/>
    <m/>
    <m/>
    <m/>
    <n v="3000"/>
    <m/>
    <n v="3000"/>
  </r>
  <r>
    <x v="7"/>
    <s v="ADMINISTRACION"/>
    <s v="CAJERA"/>
    <s v="NICTE YULISSA RODRIGUEZ MONTEJO "/>
    <n v="166.66666666666666"/>
    <n v="2500"/>
    <n v="5000"/>
    <n v="11"/>
    <m/>
    <m/>
    <m/>
    <m/>
    <m/>
    <n v="1833.3333333333333"/>
    <m/>
    <n v="1833.3333333333333"/>
  </r>
  <r>
    <x v="7"/>
    <s v="ADMINISTRACION"/>
    <s v="CAJERA"/>
    <s v="LAURA LUCIA MARTINEZ ALFARO "/>
    <n v="166.66666666666666"/>
    <n v="2500"/>
    <n v="5000"/>
    <n v="7"/>
    <m/>
    <m/>
    <m/>
    <m/>
    <m/>
    <n v="1166.6666666666665"/>
    <m/>
    <n v="1166.6666666666665"/>
  </r>
  <r>
    <x v="7"/>
    <s v="OPERACIONES"/>
    <s v="ALINEADOR"/>
    <s v="EDEL REGINO GARCIA MAZARIEGOS"/>
    <n v="266.66666666666669"/>
    <n v="4000"/>
    <n v="8000"/>
    <n v="15"/>
    <m/>
    <n v="400"/>
    <m/>
    <m/>
    <m/>
    <n v="3600.0000000000005"/>
    <m/>
    <n v="3600.0000000000005"/>
  </r>
  <r>
    <x v="11"/>
    <s v="OPERACIONES"/>
    <s v="JEFE DE ALMACEN"/>
    <s v="LUIS MIGUEL AVENDAÑO OVANDO "/>
    <n v="400"/>
    <n v="6000"/>
    <n v="12000"/>
    <n v="15"/>
    <m/>
    <m/>
    <m/>
    <m/>
    <m/>
    <n v="6000"/>
    <m/>
    <n v="6000"/>
  </r>
  <r>
    <x v="11"/>
    <s v="ALMACEN"/>
    <s v="AUXILIAR DE LLANTAS Y ACCESORIOS"/>
    <s v="ARMANDO CAMACHO OZUNA"/>
    <n v="200"/>
    <n v="3000"/>
    <n v="6000"/>
    <n v="15"/>
    <m/>
    <m/>
    <m/>
    <m/>
    <m/>
    <n v="3000"/>
    <m/>
    <n v="3000"/>
  </r>
  <r>
    <x v="4"/>
    <s v="ALMACEN"/>
    <s v="VENDEDOR"/>
    <s v="ROGER ANDRES DOMINGUEZ CRUZ"/>
    <n v="200"/>
    <n v="3000"/>
    <n v="6000"/>
    <n v="15"/>
    <m/>
    <m/>
    <m/>
    <m/>
    <m/>
    <n v="3000"/>
    <m/>
    <n v="3000"/>
  </r>
  <r>
    <x v="11"/>
    <s v="REPARTO"/>
    <s v="CHOFER"/>
    <s v="HORACIO MANUEL LOPEZ VALLES"/>
    <n v="200"/>
    <n v="3000"/>
    <n v="6000"/>
    <n v="15"/>
    <m/>
    <m/>
    <m/>
    <m/>
    <m/>
    <n v="3000"/>
    <m/>
    <n v="3000"/>
  </r>
  <r>
    <x v="11"/>
    <s v="REPARTO"/>
    <s v="CHOFER"/>
    <s v="DAIREL MENDOZA PEREZ"/>
    <n v="200"/>
    <n v="3000"/>
    <n v="6000"/>
    <n v="15"/>
    <m/>
    <m/>
    <m/>
    <m/>
    <m/>
    <n v="3000"/>
    <m/>
    <n v="3000"/>
  </r>
  <r>
    <x v="11"/>
    <s v="REPARTO"/>
    <s v="CHOFER"/>
    <s v="MANUEL ALEJANDRO HERNANDEZ DIAZ "/>
    <n v="166.67"/>
    <n v="5000"/>
    <n v="10000"/>
    <n v="10"/>
    <m/>
    <m/>
    <m/>
    <m/>
    <m/>
    <m/>
    <m/>
    <m/>
  </r>
  <r>
    <x v="12"/>
    <s v="ADMINISTRACION"/>
    <s v="JEFE DE SUCURSAL"/>
    <s v="JOSE DE JESUS RAMOS DIAZ"/>
    <n v="333.33333333333331"/>
    <n v="5000"/>
    <n v="10000"/>
    <n v="15"/>
    <m/>
    <m/>
    <m/>
    <n v="100"/>
    <m/>
    <n v="4900"/>
    <m/>
    <n v="4900"/>
  </r>
  <r>
    <x v="12"/>
    <s v="OPERACIONES"/>
    <s v="ALMACENISTA"/>
    <s v="RANGEL GOMEZ TORRES"/>
    <n v="166.66666666666666"/>
    <n v="2500"/>
    <n v="5000"/>
    <n v="15"/>
    <m/>
    <m/>
    <m/>
    <m/>
    <m/>
    <n v="2500"/>
    <m/>
    <n v="2500"/>
  </r>
  <r>
    <x v="12"/>
    <s v="VENTAS"/>
    <s v="VENDEDOR"/>
    <s v="JUAN MANUEL SANCHEZ MOO"/>
    <n v="200"/>
    <n v="3000"/>
    <n v="6000"/>
    <n v="15"/>
    <m/>
    <m/>
    <m/>
    <m/>
    <m/>
    <n v="3000"/>
    <m/>
    <n v="3000"/>
  </r>
  <r>
    <x v="12"/>
    <s v="VENTAS"/>
    <s v="INSTALADOR"/>
    <s v="VICTOR HERNANDEZ GOMEZ"/>
    <n v="166.66666666666666"/>
    <n v="2500"/>
    <n v="5000"/>
    <n v="15"/>
    <m/>
    <m/>
    <m/>
    <m/>
    <m/>
    <n v="2500"/>
    <m/>
    <n v="2500"/>
  </r>
  <r>
    <x v="12"/>
    <s v="OPERACIONES"/>
    <s v="ALINEADOR"/>
    <s v="LORENZO SANCHEZ GONZALEZ"/>
    <n v="183.33333333333334"/>
    <n v="2750"/>
    <n v="5500"/>
    <n v="15"/>
    <m/>
    <m/>
    <m/>
    <m/>
    <m/>
    <n v="2750"/>
    <m/>
    <n v="2750"/>
  </r>
  <r>
    <x v="12"/>
    <s v="ADMINISTRACION"/>
    <s v="CAJERA"/>
    <s v="JESSICA MARLITH HERNANDEZ VELAZCO"/>
    <n v="183.33333333333334"/>
    <n v="2750"/>
    <n v="5500"/>
    <n v="15"/>
    <m/>
    <m/>
    <m/>
    <m/>
    <m/>
    <n v="2750"/>
    <m/>
    <n v="2750"/>
  </r>
  <r>
    <x v="13"/>
    <s v="ADMINISTRACION"/>
    <s v="JEFE DE SUCURSAL"/>
    <s v="JUAN MIGUEL MORALES SANCHEZ"/>
    <n v="333.33333333333331"/>
    <n v="5000"/>
    <n v="10000"/>
    <n v="15"/>
    <m/>
    <m/>
    <m/>
    <m/>
    <m/>
    <n v="5000"/>
    <m/>
    <n v="5000"/>
  </r>
  <r>
    <x v="13"/>
    <s v="VENTAS"/>
    <s v="ALINEADOR"/>
    <s v="LUIS FERNANDO ALVAREZ SANCHEZ"/>
    <n v="200"/>
    <n v="3000"/>
    <n v="6000"/>
    <n v="15"/>
    <m/>
    <m/>
    <m/>
    <m/>
    <m/>
    <n v="3000"/>
    <m/>
    <n v="3000"/>
  </r>
  <r>
    <x v="13"/>
    <s v="VENTAS"/>
    <s v="VENDEDOR"/>
    <s v="BENITO DE JESUS JUAREZ CRUZ"/>
    <n v="166.66666666666666"/>
    <n v="2500"/>
    <n v="5000"/>
    <n v="15"/>
    <m/>
    <m/>
    <m/>
    <m/>
    <m/>
    <n v="2500"/>
    <m/>
    <n v="2500"/>
  </r>
  <r>
    <x v="13"/>
    <s v="OPERACIONES"/>
    <s v="ALMACENISTA"/>
    <s v="JOSE FRANCISCO RUIZ ROMAN"/>
    <n v="216.66666666666666"/>
    <n v="3250"/>
    <n v="6500"/>
    <n v="15"/>
    <m/>
    <m/>
    <m/>
    <m/>
    <m/>
    <n v="3250"/>
    <m/>
    <n v="3250"/>
  </r>
  <r>
    <x v="13"/>
    <s v="OPERACIONES"/>
    <s v="INSTALADOR"/>
    <s v="JUAN GOMEZ GOMEZ"/>
    <n v="166.66666666666666"/>
    <n v="2500"/>
    <n v="5000"/>
    <n v="15"/>
    <m/>
    <m/>
    <m/>
    <m/>
    <m/>
    <n v="2500"/>
    <m/>
    <n v="2500"/>
  </r>
  <r>
    <x v="13"/>
    <s v="VENTAS"/>
    <s v="VENDEDOR"/>
    <s v="MATI GOMEZ PEREZ"/>
    <n v="200"/>
    <n v="3000"/>
    <n v="6000"/>
    <n v="15"/>
    <m/>
    <m/>
    <m/>
    <m/>
    <m/>
    <n v="3000"/>
    <m/>
    <n v="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18" rowHeaderCaption="CENTRO DE COSTO">
  <location ref="A3:B18" firstHeaderRow="1" firstDataRow="1" firstDataCol="1"/>
  <pivotFields count="16">
    <pivotField axis="axisRow" showAll="0">
      <items count="23">
        <item sd="0" x="11"/>
        <item sd="0" x="8"/>
        <item sd="0" m="1" x="19"/>
        <item sd="0" x="0"/>
        <item sd="0" x="7"/>
        <item sd="0" m="1" x="18"/>
        <item sd="0" x="5"/>
        <item sd="0" m="1" x="15"/>
        <item sd="0" x="10"/>
        <item sd="0" x="1"/>
        <item sd="0" x="6"/>
        <item sd="0" x="4"/>
        <item sd="0" x="3"/>
        <item sd="0" x="9"/>
        <item sd="0" x="12"/>
        <item sd="0" x="2"/>
        <item sd="0" x="13"/>
        <item sd="0" m="1" x="21"/>
        <item sd="0" m="1" x="20"/>
        <item sd="0" m="1" x="14"/>
        <item sd="0" m="1" x="17"/>
        <item sd="0" m="1" x="16"/>
        <item t="default" sd="0"/>
      </items>
    </pivotField>
    <pivotField showAll="0"/>
    <pivotField axis="axisRow" showAll="0">
      <items count="39">
        <item sd="0" x="15"/>
        <item sd="0" x="28"/>
        <item sd="0" x="4"/>
        <item sd="0" x="5"/>
        <item sd="0" x="6"/>
        <item sd="0" m="1" x="35"/>
        <item sd="0" m="1" x="34"/>
        <item sd="0" x="21"/>
        <item sd="0" m="1" x="31"/>
        <item sd="0" x="18"/>
        <item sd="0" x="12"/>
        <item sd="0" x="11"/>
        <item sd="0" x="2"/>
        <item sd="0" x="3"/>
        <item sd="0" x="7"/>
        <item sd="0" x="9"/>
        <item sd="0" x="20"/>
        <item sd="0" x="8"/>
        <item sd="0" x="14"/>
        <item sd="0" x="24"/>
        <item sd="0" x="25"/>
        <item sd="0" x="13"/>
        <item sd="0" m="1" x="36"/>
        <item sd="0" x="0"/>
        <item sd="0" m="1" x="32"/>
        <item sd="0" x="10"/>
        <item sd="0" x="1"/>
        <item sd="0" x="22"/>
        <item sd="0" x="17"/>
        <item sd="0" x="19"/>
        <item sd="0" m="1" x="33"/>
        <item sd="0" m="1" x="37"/>
        <item sd="0" m="1" x="29"/>
        <item x="23"/>
        <item m="1" x="30"/>
        <item x="26"/>
        <item x="27"/>
        <item x="16"/>
        <item t="default" sd="0"/>
      </items>
    </pivotField>
    <pivotField axis="axisRow" showAll="0">
      <items count="92">
        <item x="46"/>
        <item x="42"/>
        <item x="17"/>
        <item x="55"/>
        <item x="34"/>
        <item x="67"/>
        <item x="27"/>
        <item x="11"/>
        <item x="21"/>
        <item m="1" x="88"/>
        <item x="33"/>
        <item x="50"/>
        <item x="13"/>
        <item x="53"/>
        <item x="39"/>
        <item x="16"/>
        <item x="32"/>
        <item x="14"/>
        <item x="30"/>
        <item m="1" x="78"/>
        <item x="57"/>
        <item x="51"/>
        <item x="5"/>
        <item m="1" x="87"/>
        <item x="35"/>
        <item x="25"/>
        <item m="1" x="75"/>
        <item x="19"/>
        <item m="1" x="76"/>
        <item x="4"/>
        <item m="1" x="79"/>
        <item x="59"/>
        <item x="23"/>
        <item x="24"/>
        <item m="1" x="72"/>
        <item m="1" x="77"/>
        <item m="1" x="73"/>
        <item x="3"/>
        <item x="69"/>
        <item m="1" x="86"/>
        <item x="65"/>
        <item m="1" x="89"/>
        <item m="1" x="84"/>
        <item x="63"/>
        <item x="40"/>
        <item x="7"/>
        <item x="10"/>
        <item x="44"/>
        <item x="66"/>
        <item x="54"/>
        <item m="1" x="90"/>
        <item x="1"/>
        <item x="45"/>
        <item x="12"/>
        <item x="43"/>
        <item x="18"/>
        <item x="70"/>
        <item x="26"/>
        <item x="20"/>
        <item x="29"/>
        <item x="36"/>
        <item m="1" x="74"/>
        <item x="6"/>
        <item x="60"/>
        <item x="0"/>
        <item x="8"/>
        <item x="56"/>
        <item x="47"/>
        <item m="1" x="81"/>
        <item x="9"/>
        <item x="37"/>
        <item x="28"/>
        <item x="62"/>
        <item x="2"/>
        <item x="31"/>
        <item m="1" x="71"/>
        <item x="49"/>
        <item x="61"/>
        <item x="64"/>
        <item x="68"/>
        <item m="1" x="82"/>
        <item x="48"/>
        <item x="15"/>
        <item x="22"/>
        <item m="1" x="83"/>
        <item m="1" x="80"/>
        <item m="1" x="85"/>
        <item x="38"/>
        <item x="58"/>
        <item x="52"/>
        <item x="4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3">
    <field x="0"/>
    <field x="2"/>
    <field x="3"/>
  </rowFields>
  <rowItems count="15">
    <i>
      <x/>
    </i>
    <i>
      <x v="1"/>
    </i>
    <i>
      <x v="3"/>
    </i>
    <i>
      <x v="4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TOTALES" fld="15" baseField="0" baseItem="0" numFmtId="165"/>
  </dataFields>
  <formats count="5">
    <format dxfId="8">
      <pivotArea field="0" type="button" dataOnly="0" labelOnly="1" outline="0" axis="axisRow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outline="0" axis="axisValues" fieldPosition="0"/>
    </format>
    <format dxfId="4">
      <pivotArea dataOnly="0" labelOnly="1" fieldPosition="0">
        <references count="1">
          <reference field="0" count="0"/>
        </references>
      </pivotArea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8" firstHeaderRow="0" firstDataRow="1" firstDataCol="1"/>
  <pivotFields count="16">
    <pivotField axis="axisRow" showAll="0">
      <items count="23">
        <item sd="0" x="11"/>
        <item sd="0" x="8"/>
        <item sd="0" m="1" x="19"/>
        <item sd="0" x="0"/>
        <item sd="0" m="1" x="17"/>
        <item sd="0" x="7"/>
        <item sd="0" m="1" x="18"/>
        <item sd="0" x="5"/>
        <item sd="0" m="1" x="15"/>
        <item sd="0" x="10"/>
        <item sd="0" x="1"/>
        <item sd="0" x="6"/>
        <item sd="0" x="4"/>
        <item sd="0" x="3"/>
        <item sd="0" x="9"/>
        <item sd="0" x="12"/>
        <item sd="0" m="1" x="20"/>
        <item sd="0" x="2"/>
        <item sd="0" m="1" x="16"/>
        <item sd="0" x="13"/>
        <item sd="0" m="1" x="21"/>
        <item sd="0" m="1" x="14"/>
        <item t="default" sd="0"/>
      </items>
    </pivotField>
    <pivotField showAll="0"/>
    <pivotField showAll="0"/>
    <pivotField axis="axisRow" showAll="0">
      <items count="92">
        <item x="46"/>
        <item x="42"/>
        <item x="15"/>
        <item x="17"/>
        <item x="55"/>
        <item x="34"/>
        <item x="67"/>
        <item x="27"/>
        <item x="11"/>
        <item x="21"/>
        <item x="58"/>
        <item m="1" x="88"/>
        <item x="33"/>
        <item x="50"/>
        <item x="13"/>
        <item x="53"/>
        <item x="39"/>
        <item x="16"/>
        <item x="32"/>
        <item x="14"/>
        <item x="30"/>
        <item m="1" x="78"/>
        <item x="57"/>
        <item x="51"/>
        <item x="5"/>
        <item m="1" x="87"/>
        <item x="64"/>
        <item x="35"/>
        <item x="25"/>
        <item m="1" x="75"/>
        <item m="1" x="83"/>
        <item m="1" x="85"/>
        <item x="19"/>
        <item x="38"/>
        <item m="1" x="76"/>
        <item x="4"/>
        <item m="1" x="79"/>
        <item x="59"/>
        <item x="23"/>
        <item x="68"/>
        <item x="24"/>
        <item x="22"/>
        <item m="1" x="72"/>
        <item m="1" x="77"/>
        <item x="48"/>
        <item m="1" x="73"/>
        <item x="3"/>
        <item x="69"/>
        <item m="1" x="86"/>
        <item x="61"/>
        <item x="65"/>
        <item m="1" x="82"/>
        <item m="1" x="89"/>
        <item m="1" x="84"/>
        <item x="63"/>
        <item x="40"/>
        <item x="7"/>
        <item x="10"/>
        <item x="44"/>
        <item x="66"/>
        <item x="54"/>
        <item m="1" x="90"/>
        <item x="1"/>
        <item x="45"/>
        <item x="12"/>
        <item x="43"/>
        <item x="18"/>
        <item x="70"/>
        <item x="26"/>
        <item x="20"/>
        <item x="29"/>
        <item x="36"/>
        <item m="1" x="74"/>
        <item x="41"/>
        <item x="6"/>
        <item x="49"/>
        <item x="60"/>
        <item x="0"/>
        <item x="8"/>
        <item x="56"/>
        <item x="47"/>
        <item m="1" x="81"/>
        <item m="1" x="80"/>
        <item x="9"/>
        <item x="37"/>
        <item x="28"/>
        <item x="52"/>
        <item x="62"/>
        <item x="2"/>
        <item x="31"/>
        <item m="1" x="71"/>
        <item t="default"/>
      </items>
    </pivotField>
    <pivotField numFmtId="43" showAll="0"/>
    <pivotField numFmtId="43" showAll="0"/>
    <pivotField numFmtId="43" showAll="0"/>
    <pivotField showAll="0"/>
    <pivotField showAll="0"/>
    <pivotField dataField="1" showAll="0"/>
    <pivotField dataField="1" showAll="0"/>
    <pivotField dataField="1" showAll="0"/>
    <pivotField dataField="1" showAll="0"/>
    <pivotField numFmtId="43" showAll="0"/>
    <pivotField showAll="0"/>
    <pivotField numFmtId="44" showAll="0"/>
  </pivotFields>
  <rowFields count="2">
    <field x="0"/>
    <field x="3"/>
  </rowFields>
  <rowItems count="15">
    <i>
      <x/>
    </i>
    <i>
      <x v="1"/>
    </i>
    <i>
      <x v="3"/>
    </i>
    <i>
      <x v="5"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7"/>
    </i>
    <i>
      <x v="1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DEUDA INTERNA" fld="9" baseField="0" baseItem="7" numFmtId="165"/>
    <dataField name="RETARDOS " fld="10" baseField="0" baseItem="7" numFmtId="165"/>
    <dataField name="AC.CORR." fld="11" baseField="0" baseItem="7" numFmtId="165"/>
    <dataField name="UNIFORMES" fld="12" baseField="0" baseItem="7" numFmtId="165"/>
  </dataFields>
  <formats count="4">
    <format dxfId="3">
      <pivotArea outline="0" collapsedLevelsAreSubtotals="1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2" rowHeaderCaption="UNIDAD DE NEGOCIO">
  <location ref="A3:B18" firstHeaderRow="1" firstDataRow="1" firstDataCol="1"/>
  <pivotFields count="16">
    <pivotField axis="axisRow" showAll="0">
      <items count="15">
        <item x="11"/>
        <item x="9"/>
        <item x="0"/>
        <item x="7"/>
        <item x="6"/>
        <item x="10"/>
        <item x="1"/>
        <item x="5"/>
        <item x="2"/>
        <item x="3"/>
        <item x="8"/>
        <item x="12"/>
        <item x="4"/>
        <item x="13"/>
        <item t="default"/>
      </items>
    </pivotField>
    <pivotField showAll="0"/>
    <pivotField showAll="0"/>
    <pivotField showAll="0"/>
    <pivotField numFmtId="43" showAll="0"/>
    <pivotField numFmtId="43"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TOTALES" fld="15" baseField="0" baseItem="0" numFmtId="165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8" firstHeaderRow="0" firstDataRow="1" firstDataCol="1"/>
  <pivotFields count="17">
    <pivotField axis="axisRow" showAll="0">
      <items count="15">
        <item x="11"/>
        <item x="9"/>
        <item x="0"/>
        <item x="7"/>
        <item x="6"/>
        <item x="10"/>
        <item x="1"/>
        <item x="5"/>
        <item x="2"/>
        <item x="3"/>
        <item x="8"/>
        <item x="12"/>
        <item x="4"/>
        <item x="13"/>
        <item t="default"/>
      </items>
    </pivotField>
    <pivotField showAll="0"/>
    <pivotField showAll="0"/>
    <pivotField showAll="0"/>
    <pivotField numFmtId="43" showAll="0"/>
    <pivotField numFmtId="43" showAll="0"/>
    <pivotField numFmtId="43"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DEUDA INTERNA" fld="9" baseField="0" baseItem="0" numFmtId="165"/>
    <dataField name="RETARDOS " fld="10" baseField="0" baseItem="0" numFmtId="165"/>
    <dataField name="AC-CORR" fld="11" baseField="0" baseItem="0" numFmtId="165"/>
    <dataField name="UNIFORMES" fld="12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3"/>
  <sheetViews>
    <sheetView zoomScale="90" zoomScaleNormal="90" workbookViewId="0">
      <pane xSplit="5" ySplit="4" topLeftCell="M48" activePane="bottomRight" state="frozen"/>
      <selection pane="topRight" activeCell="F1" sqref="F1"/>
      <selection pane="bottomLeft" activeCell="A5" sqref="A5"/>
      <selection pane="bottomRight" activeCell="Q60" sqref="Q60"/>
    </sheetView>
  </sheetViews>
  <sheetFormatPr baseColWidth="10" defaultColWidth="9.140625" defaultRowHeight="15" x14ac:dyDescent="0.25"/>
  <cols>
    <col min="1" max="1" width="3" bestFit="1" customWidth="1"/>
    <col min="2" max="2" width="18.7109375" customWidth="1"/>
    <col min="3" max="3" width="17.5703125" bestFit="1" customWidth="1"/>
    <col min="4" max="4" width="25" hidden="1" customWidth="1"/>
    <col min="5" max="5" width="39.7109375" bestFit="1" customWidth="1"/>
    <col min="6" max="6" width="11" style="51" customWidth="1"/>
    <col min="7" max="8" width="14" style="52" customWidth="1"/>
    <col min="9" max="9" width="11" style="53" customWidth="1"/>
    <col min="10" max="10" width="8.140625" style="53" customWidth="1"/>
    <col min="11" max="11" width="22.140625" style="54" bestFit="1" customWidth="1"/>
    <col min="12" max="12" width="17.28515625" style="54" bestFit="1" customWidth="1"/>
    <col min="13" max="13" width="18.7109375" style="54" bestFit="1" customWidth="1"/>
    <col min="14" max="14" width="17.85546875" style="54" bestFit="1" customWidth="1"/>
    <col min="15" max="15" width="20.7109375" style="55" bestFit="1" customWidth="1"/>
    <col min="16" max="16" width="19" customWidth="1"/>
    <col min="17" max="18" width="20.7109375" customWidth="1"/>
    <col min="19" max="19" width="6.85546875" customWidth="1"/>
    <col min="20" max="20" width="9.140625" customWidth="1"/>
  </cols>
  <sheetData>
    <row r="1" spans="1:19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</row>
    <row r="2" spans="1:19" x14ac:dyDescent="0.25">
      <c r="B2" s="383" t="s">
        <v>120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</row>
    <row r="3" spans="1:19" ht="15.75" thickBot="1" x14ac:dyDescent="0.3">
      <c r="B3" s="383" t="s">
        <v>0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</row>
    <row r="4" spans="1:19" s="2" customFormat="1" ht="38.25" customHeight="1" thickBot="1" x14ac:dyDescent="0.3">
      <c r="A4" s="1" t="s">
        <v>1</v>
      </c>
      <c r="B4" s="68" t="s">
        <v>2</v>
      </c>
      <c r="C4" s="69" t="s">
        <v>3</v>
      </c>
      <c r="D4" s="69" t="s">
        <v>4</v>
      </c>
      <c r="E4" s="69" t="s">
        <v>5</v>
      </c>
      <c r="F4" s="70" t="s">
        <v>6</v>
      </c>
      <c r="G4" s="71" t="s">
        <v>7</v>
      </c>
      <c r="H4" s="71"/>
      <c r="I4" s="72" t="s">
        <v>8</v>
      </c>
      <c r="J4" s="69" t="s">
        <v>9</v>
      </c>
      <c r="K4" s="70" t="s">
        <v>10</v>
      </c>
      <c r="L4" s="70" t="s">
        <v>11</v>
      </c>
      <c r="M4" s="70" t="s">
        <v>12</v>
      </c>
      <c r="N4" s="70" t="s">
        <v>13</v>
      </c>
      <c r="O4" s="73" t="s">
        <v>14</v>
      </c>
      <c r="P4" s="74" t="s">
        <v>15</v>
      </c>
      <c r="Q4" s="69" t="s">
        <v>16</v>
      </c>
      <c r="R4" s="75" t="s">
        <v>17</v>
      </c>
      <c r="S4" s="76" t="s">
        <v>18</v>
      </c>
    </row>
    <row r="5" spans="1:19" s="10" customFormat="1" ht="15.75" customHeight="1" x14ac:dyDescent="0.25">
      <c r="A5" s="3">
        <v>1</v>
      </c>
      <c r="B5" s="61" t="s">
        <v>19</v>
      </c>
      <c r="C5" s="61" t="s">
        <v>20</v>
      </c>
      <c r="D5" s="61" t="s">
        <v>21</v>
      </c>
      <c r="E5" s="320" t="s">
        <v>22</v>
      </c>
      <c r="F5" s="62">
        <f>G5/15</f>
        <v>1000</v>
      </c>
      <c r="G5" s="62">
        <v>15000</v>
      </c>
      <c r="H5" s="62">
        <f>G5*2</f>
        <v>30000</v>
      </c>
      <c r="I5" s="63">
        <v>15</v>
      </c>
      <c r="J5" s="63"/>
      <c r="K5" s="64"/>
      <c r="L5" s="64"/>
      <c r="M5" s="64"/>
      <c r="N5" s="64"/>
      <c r="O5" s="65">
        <f t="shared" ref="O5:O6" si="0">Q5-P5</f>
        <v>13103.58</v>
      </c>
      <c r="P5" s="66">
        <v>1896.42</v>
      </c>
      <c r="Q5" s="66">
        <f t="shared" ref="Q5:Q58" si="1">(I5*F5)-(K5+L5+M5+N5)</f>
        <v>15000</v>
      </c>
      <c r="R5" s="61"/>
      <c r="S5" s="67"/>
    </row>
    <row r="6" spans="1:19" s="10" customFormat="1" ht="15.75" customHeight="1" x14ac:dyDescent="0.25">
      <c r="A6" s="11">
        <v>2</v>
      </c>
      <c r="B6" s="12" t="s">
        <v>19</v>
      </c>
      <c r="C6" s="12" t="s">
        <v>20</v>
      </c>
      <c r="D6" s="12" t="s">
        <v>23</v>
      </c>
      <c r="E6" s="12" t="s">
        <v>24</v>
      </c>
      <c r="F6" s="13">
        <f t="shared" ref="F6:F13" si="2">G6/15</f>
        <v>1000</v>
      </c>
      <c r="G6" s="13">
        <v>15000</v>
      </c>
      <c r="H6" s="13">
        <f>G6*2</f>
        <v>30000</v>
      </c>
      <c r="I6" s="14">
        <v>15</v>
      </c>
      <c r="J6" s="14"/>
      <c r="K6" s="15"/>
      <c r="L6" s="15"/>
      <c r="M6" s="15"/>
      <c r="N6" s="15"/>
      <c r="O6" s="19">
        <f t="shared" si="0"/>
        <v>15000</v>
      </c>
      <c r="P6" s="16"/>
      <c r="Q6" s="16">
        <f t="shared" si="1"/>
        <v>15000</v>
      </c>
      <c r="R6" s="12"/>
      <c r="S6" s="17"/>
    </row>
    <row r="7" spans="1:19" s="10" customFormat="1" ht="15.75" customHeight="1" x14ac:dyDescent="0.25">
      <c r="A7" s="11">
        <v>3</v>
      </c>
      <c r="B7" s="12" t="s">
        <v>19</v>
      </c>
      <c r="C7" s="12" t="s">
        <v>20</v>
      </c>
      <c r="D7" s="12" t="s">
        <v>25</v>
      </c>
      <c r="E7" s="12" t="s">
        <v>26</v>
      </c>
      <c r="F7" s="13">
        <f t="shared" si="2"/>
        <v>1000</v>
      </c>
      <c r="G7" s="13">
        <v>15000</v>
      </c>
      <c r="H7" s="13">
        <f>G7*2</f>
        <v>30000</v>
      </c>
      <c r="I7" s="14">
        <v>15</v>
      </c>
      <c r="J7" s="14"/>
      <c r="K7" s="15"/>
      <c r="L7" s="15"/>
      <c r="M7" s="15"/>
      <c r="N7" s="15"/>
      <c r="O7" s="78">
        <f>Q7-P7</f>
        <v>15000</v>
      </c>
      <c r="P7" s="16"/>
      <c r="Q7" s="16">
        <f t="shared" si="1"/>
        <v>15000</v>
      </c>
      <c r="R7" s="12"/>
      <c r="S7" s="17"/>
    </row>
    <row r="8" spans="1:19" s="10" customFormat="1" ht="15.75" customHeight="1" x14ac:dyDescent="0.25">
      <c r="A8" s="11">
        <v>4</v>
      </c>
      <c r="B8" s="12" t="s">
        <v>19</v>
      </c>
      <c r="C8" s="12" t="s">
        <v>20</v>
      </c>
      <c r="D8" s="12" t="s">
        <v>27</v>
      </c>
      <c r="E8" s="12" t="s">
        <v>28</v>
      </c>
      <c r="F8" s="13">
        <f t="shared" si="2"/>
        <v>300</v>
      </c>
      <c r="G8" s="13">
        <v>4500</v>
      </c>
      <c r="H8" s="13">
        <f t="shared" ref="H8:H59" si="3">G8*2</f>
        <v>9000</v>
      </c>
      <c r="I8" s="14">
        <v>15</v>
      </c>
      <c r="J8" s="14"/>
      <c r="K8" s="18">
        <v>750</v>
      </c>
      <c r="L8" s="15"/>
      <c r="M8" s="15"/>
      <c r="N8" s="15"/>
      <c r="O8" s="78">
        <f>Q8-P8</f>
        <v>3750</v>
      </c>
      <c r="P8" s="16"/>
      <c r="Q8" s="16">
        <f t="shared" si="1"/>
        <v>3750</v>
      </c>
      <c r="R8" s="12"/>
      <c r="S8" s="17"/>
    </row>
    <row r="9" spans="1:19" s="10" customFormat="1" ht="15.75" customHeight="1" x14ac:dyDescent="0.25">
      <c r="A9" s="11">
        <v>5</v>
      </c>
      <c r="B9" s="12" t="s">
        <v>19</v>
      </c>
      <c r="C9" s="12" t="s">
        <v>20</v>
      </c>
      <c r="D9" s="12" t="s">
        <v>27</v>
      </c>
      <c r="E9" s="12" t="s">
        <v>29</v>
      </c>
      <c r="F9" s="13">
        <f t="shared" si="2"/>
        <v>200</v>
      </c>
      <c r="G9" s="13">
        <v>3000</v>
      </c>
      <c r="H9" s="13">
        <f t="shared" si="3"/>
        <v>6000</v>
      </c>
      <c r="I9" s="14">
        <v>15</v>
      </c>
      <c r="J9" s="14"/>
      <c r="K9" s="15"/>
      <c r="L9" s="15"/>
      <c r="M9" s="15"/>
      <c r="N9" s="15"/>
      <c r="O9" s="78">
        <f>Q9-P9</f>
        <v>3000</v>
      </c>
      <c r="P9" s="16"/>
      <c r="Q9" s="16">
        <f t="shared" si="1"/>
        <v>3000</v>
      </c>
      <c r="R9" s="12"/>
      <c r="S9" s="17"/>
    </row>
    <row r="10" spans="1:19" s="10" customFormat="1" ht="15.75" customHeight="1" x14ac:dyDescent="0.25">
      <c r="A10" s="11">
        <v>7</v>
      </c>
      <c r="B10" s="12" t="s">
        <v>19</v>
      </c>
      <c r="C10" s="12" t="s">
        <v>20</v>
      </c>
      <c r="D10" s="12" t="s">
        <v>30</v>
      </c>
      <c r="E10" s="12" t="s">
        <v>31</v>
      </c>
      <c r="F10" s="13">
        <f t="shared" si="2"/>
        <v>400</v>
      </c>
      <c r="G10" s="13">
        <v>6000</v>
      </c>
      <c r="H10" s="13">
        <f t="shared" si="3"/>
        <v>12000</v>
      </c>
      <c r="I10" s="14">
        <v>15</v>
      </c>
      <c r="J10" s="14"/>
      <c r="K10" s="18">
        <v>1000</v>
      </c>
      <c r="L10" s="15"/>
      <c r="M10" s="15"/>
      <c r="N10" s="15"/>
      <c r="O10" s="78">
        <f t="shared" ref="O10:O59" si="4">Q10-P10</f>
        <v>5000</v>
      </c>
      <c r="P10" s="16"/>
      <c r="Q10" s="16">
        <f t="shared" si="1"/>
        <v>5000</v>
      </c>
      <c r="R10" s="12"/>
      <c r="S10" s="17"/>
    </row>
    <row r="11" spans="1:19" s="10" customFormat="1" ht="15.75" customHeight="1" x14ac:dyDescent="0.25">
      <c r="A11" s="11">
        <v>8</v>
      </c>
      <c r="B11" s="12" t="s">
        <v>19</v>
      </c>
      <c r="C11" s="12" t="s">
        <v>32</v>
      </c>
      <c r="D11" s="21" t="s">
        <v>33</v>
      </c>
      <c r="E11" s="12" t="s">
        <v>34</v>
      </c>
      <c r="F11" s="13">
        <f t="shared" si="2"/>
        <v>333.33333333333331</v>
      </c>
      <c r="G11" s="13">
        <v>5000</v>
      </c>
      <c r="H11" s="13">
        <f t="shared" si="3"/>
        <v>10000</v>
      </c>
      <c r="I11" s="14">
        <v>15</v>
      </c>
      <c r="J11" s="14"/>
      <c r="K11" s="15"/>
      <c r="L11" s="15"/>
      <c r="M11" s="15"/>
      <c r="N11" s="15"/>
      <c r="O11" s="78">
        <f t="shared" si="4"/>
        <v>5000</v>
      </c>
      <c r="P11" s="16"/>
      <c r="Q11" s="16">
        <f t="shared" si="1"/>
        <v>5000</v>
      </c>
      <c r="R11" s="12"/>
      <c r="S11" s="17"/>
    </row>
    <row r="12" spans="1:19" s="10" customFormat="1" ht="15.75" customHeight="1" x14ac:dyDescent="0.25">
      <c r="A12" s="11">
        <v>9</v>
      </c>
      <c r="B12" s="12" t="s">
        <v>19</v>
      </c>
      <c r="C12" s="12" t="s">
        <v>32</v>
      </c>
      <c r="D12" s="12" t="s">
        <v>35</v>
      </c>
      <c r="E12" s="321" t="s">
        <v>36</v>
      </c>
      <c r="F12" s="13">
        <f t="shared" si="2"/>
        <v>833.33333333333337</v>
      </c>
      <c r="G12" s="13">
        <v>12500</v>
      </c>
      <c r="H12" s="13">
        <f t="shared" si="3"/>
        <v>25000</v>
      </c>
      <c r="I12" s="14">
        <v>15</v>
      </c>
      <c r="J12" s="14"/>
      <c r="K12" s="15"/>
      <c r="L12" s="15"/>
      <c r="M12" s="15"/>
      <c r="N12" s="15"/>
      <c r="O12" s="78">
        <f t="shared" si="4"/>
        <v>10933.94</v>
      </c>
      <c r="P12" s="16">
        <v>1566.06</v>
      </c>
      <c r="Q12" s="16">
        <f t="shared" si="1"/>
        <v>12500</v>
      </c>
      <c r="R12" s="12"/>
      <c r="S12" s="17"/>
    </row>
    <row r="13" spans="1:19" s="10" customFormat="1" ht="15.75" customHeight="1" thickBot="1" x14ac:dyDescent="0.3">
      <c r="A13" s="22">
        <v>10</v>
      </c>
      <c r="B13" s="23" t="s">
        <v>19</v>
      </c>
      <c r="C13" s="23" t="s">
        <v>32</v>
      </c>
      <c r="D13" s="23" t="s">
        <v>37</v>
      </c>
      <c r="E13" s="322" t="s">
        <v>38</v>
      </c>
      <c r="F13" s="24">
        <f t="shared" si="2"/>
        <v>266.66666666666669</v>
      </c>
      <c r="G13" s="24">
        <v>4000</v>
      </c>
      <c r="H13" s="24">
        <f t="shared" si="3"/>
        <v>8000</v>
      </c>
      <c r="I13" s="25">
        <v>15</v>
      </c>
      <c r="J13" s="25"/>
      <c r="K13" s="26"/>
      <c r="L13" s="26"/>
      <c r="M13" s="26"/>
      <c r="N13" s="26"/>
      <c r="O13" s="79">
        <f t="shared" si="4"/>
        <v>2433.9400000000005</v>
      </c>
      <c r="P13" s="27">
        <v>1566.06</v>
      </c>
      <c r="Q13" s="27">
        <f t="shared" si="1"/>
        <v>4000.0000000000005</v>
      </c>
      <c r="R13" s="30">
        <f>SUM(Q5:Q13)</f>
        <v>78250</v>
      </c>
      <c r="S13" s="28"/>
    </row>
    <row r="14" spans="1:19" s="10" customFormat="1" ht="15.75" customHeight="1" x14ac:dyDescent="0.25">
      <c r="A14" s="3">
        <v>11</v>
      </c>
      <c r="B14" s="4" t="s">
        <v>39</v>
      </c>
      <c r="C14" s="4" t="s">
        <v>50</v>
      </c>
      <c r="D14" s="4" t="s">
        <v>51</v>
      </c>
      <c r="E14" s="4" t="s">
        <v>52</v>
      </c>
      <c r="F14" s="5">
        <f>G14/15</f>
        <v>200</v>
      </c>
      <c r="G14" s="5">
        <v>3000</v>
      </c>
      <c r="H14" s="5">
        <f>G14*2</f>
        <v>6000</v>
      </c>
      <c r="I14" s="6">
        <v>15</v>
      </c>
      <c r="J14" s="6"/>
      <c r="K14" s="7"/>
      <c r="L14" s="7">
        <v>50</v>
      </c>
      <c r="M14" s="7"/>
      <c r="N14" s="7"/>
      <c r="O14" s="80">
        <f>Q14-P14</f>
        <v>2950</v>
      </c>
      <c r="P14" s="8"/>
      <c r="Q14" s="8">
        <f>(I14*F14)-(K14+L14+M14+N14)</f>
        <v>2950</v>
      </c>
      <c r="R14" s="4"/>
      <c r="S14" s="9"/>
    </row>
    <row r="15" spans="1:19" s="10" customFormat="1" ht="15.75" customHeight="1" x14ac:dyDescent="0.25">
      <c r="A15" s="11">
        <v>12</v>
      </c>
      <c r="B15" s="12" t="s">
        <v>39</v>
      </c>
      <c r="C15" s="12" t="s">
        <v>40</v>
      </c>
      <c r="D15" s="12" t="s">
        <v>66</v>
      </c>
      <c r="E15" s="12" t="s">
        <v>112</v>
      </c>
      <c r="F15" s="13">
        <f>G15/15</f>
        <v>166.66666666666666</v>
      </c>
      <c r="G15" s="13">
        <v>2500</v>
      </c>
      <c r="H15" s="13">
        <f>G15*2</f>
        <v>5000</v>
      </c>
      <c r="I15" s="14">
        <v>15</v>
      </c>
      <c r="J15" s="14"/>
      <c r="K15" s="15"/>
      <c r="L15" s="15"/>
      <c r="M15" s="15"/>
      <c r="N15" s="15"/>
      <c r="O15" s="78">
        <f>Q15-P15</f>
        <v>2500</v>
      </c>
      <c r="P15" s="16"/>
      <c r="Q15" s="16">
        <f>(I15*F15)-(K15+L15+M15+N15)</f>
        <v>2500</v>
      </c>
      <c r="R15" s="31"/>
      <c r="S15" s="17"/>
    </row>
    <row r="16" spans="1:19" s="10" customFormat="1" ht="15.75" customHeight="1" thickBot="1" x14ac:dyDescent="0.3">
      <c r="A16" s="22">
        <v>13</v>
      </c>
      <c r="B16" s="23" t="s">
        <v>39</v>
      </c>
      <c r="C16" s="23" t="s">
        <v>40</v>
      </c>
      <c r="D16" s="23" t="s">
        <v>41</v>
      </c>
      <c r="E16" s="322" t="s">
        <v>42</v>
      </c>
      <c r="F16" s="24">
        <f>G16/15</f>
        <v>240</v>
      </c>
      <c r="G16" s="24">
        <v>3600</v>
      </c>
      <c r="H16" s="24">
        <f>G16*2</f>
        <v>7200</v>
      </c>
      <c r="I16" s="25">
        <v>15</v>
      </c>
      <c r="J16" s="25"/>
      <c r="K16" s="26"/>
      <c r="L16" s="26"/>
      <c r="M16" s="26"/>
      <c r="N16" s="26"/>
      <c r="O16" s="79">
        <f>Q16-P16</f>
        <v>2033.94</v>
      </c>
      <c r="P16" s="27">
        <v>1566.06</v>
      </c>
      <c r="Q16" s="27">
        <f>(I16*F16)-(K16+L16+M16+N16)</f>
        <v>3600</v>
      </c>
      <c r="R16" s="31">
        <f>SUM(Q14:Q16)</f>
        <v>9050</v>
      </c>
      <c r="S16" s="28"/>
    </row>
    <row r="17" spans="1:19" s="10" customFormat="1" ht="15.75" customHeight="1" x14ac:dyDescent="0.25">
      <c r="A17" s="3">
        <v>14</v>
      </c>
      <c r="B17" s="4" t="s">
        <v>45</v>
      </c>
      <c r="C17" s="4" t="s">
        <v>20</v>
      </c>
      <c r="D17" s="4" t="s">
        <v>46</v>
      </c>
      <c r="E17" s="4" t="s">
        <v>47</v>
      </c>
      <c r="F17" s="5">
        <f t="shared" ref="F17:F59" si="5">G17/15</f>
        <v>266.66666666666669</v>
      </c>
      <c r="G17" s="5">
        <v>4000</v>
      </c>
      <c r="H17" s="5">
        <f t="shared" si="3"/>
        <v>8000</v>
      </c>
      <c r="I17" s="6">
        <v>15</v>
      </c>
      <c r="J17" s="6"/>
      <c r="K17" s="7"/>
      <c r="L17" s="7"/>
      <c r="M17" s="7"/>
      <c r="N17" s="7"/>
      <c r="O17" s="80">
        <f t="shared" si="4"/>
        <v>4000.0000000000005</v>
      </c>
      <c r="P17" s="8"/>
      <c r="Q17" s="8">
        <f t="shared" si="1"/>
        <v>4000.0000000000005</v>
      </c>
      <c r="R17" s="4"/>
      <c r="S17" s="9"/>
    </row>
    <row r="18" spans="1:19" s="10" customFormat="1" ht="15.75" customHeight="1" x14ac:dyDescent="0.25">
      <c r="A18" s="11">
        <v>15</v>
      </c>
      <c r="B18" s="12" t="s">
        <v>45</v>
      </c>
      <c r="C18" s="12" t="s">
        <v>40</v>
      </c>
      <c r="D18" s="12" t="s">
        <v>41</v>
      </c>
      <c r="E18" s="21" t="s">
        <v>93</v>
      </c>
      <c r="F18" s="13">
        <f>G18/15</f>
        <v>166.66666666666666</v>
      </c>
      <c r="G18" s="13">
        <v>2500</v>
      </c>
      <c r="H18" s="13">
        <f>G18*2</f>
        <v>5000</v>
      </c>
      <c r="I18" s="14">
        <v>15</v>
      </c>
      <c r="J18" s="14"/>
      <c r="K18" s="18">
        <v>404</v>
      </c>
      <c r="L18" s="15"/>
      <c r="M18" s="15"/>
      <c r="N18" s="15"/>
      <c r="O18" s="78">
        <f>Q18-P18</f>
        <v>2096</v>
      </c>
      <c r="P18" s="43"/>
      <c r="Q18" s="16">
        <f>(I18*F18)-(K18+L18+M18+N18)</f>
        <v>2096</v>
      </c>
      <c r="R18" s="44"/>
      <c r="S18" s="17"/>
    </row>
    <row r="19" spans="1:19" s="10" customFormat="1" ht="15.75" customHeight="1" x14ac:dyDescent="0.25">
      <c r="A19" s="11">
        <v>16</v>
      </c>
      <c r="B19" s="12" t="s">
        <v>45</v>
      </c>
      <c r="C19" s="12" t="s">
        <v>50</v>
      </c>
      <c r="D19" s="12"/>
      <c r="E19" s="12" t="s">
        <v>114</v>
      </c>
      <c r="F19" s="13">
        <f t="shared" si="5"/>
        <v>166.66666666666666</v>
      </c>
      <c r="G19" s="13">
        <v>2500</v>
      </c>
      <c r="H19" s="13">
        <f>G19*2</f>
        <v>5000</v>
      </c>
      <c r="I19" s="14">
        <v>14</v>
      </c>
      <c r="J19" s="14"/>
      <c r="K19" s="20"/>
      <c r="L19" s="15"/>
      <c r="M19" s="15"/>
      <c r="N19" s="15"/>
      <c r="O19" s="78">
        <f>Q19-P19</f>
        <v>2333.333333333333</v>
      </c>
      <c r="P19" s="16"/>
      <c r="Q19" s="16">
        <f t="shared" si="1"/>
        <v>2333.333333333333</v>
      </c>
      <c r="R19" s="31"/>
      <c r="S19" s="17"/>
    </row>
    <row r="20" spans="1:19" s="10" customFormat="1" ht="15.75" customHeight="1" thickBot="1" x14ac:dyDescent="0.3">
      <c r="A20" s="22">
        <v>17</v>
      </c>
      <c r="B20" s="23" t="s">
        <v>45</v>
      </c>
      <c r="C20" s="23" t="s">
        <v>40</v>
      </c>
      <c r="D20" s="23" t="s">
        <v>41</v>
      </c>
      <c r="E20" s="322" t="s">
        <v>53</v>
      </c>
      <c r="F20" s="24">
        <f t="shared" si="5"/>
        <v>266.66666666666669</v>
      </c>
      <c r="G20" s="24">
        <v>4000</v>
      </c>
      <c r="H20" s="24">
        <f t="shared" si="3"/>
        <v>8000</v>
      </c>
      <c r="I20" s="25">
        <v>14</v>
      </c>
      <c r="J20" s="25"/>
      <c r="K20" s="26"/>
      <c r="L20" s="26"/>
      <c r="M20" s="26"/>
      <c r="N20" s="26"/>
      <c r="O20" s="79">
        <f t="shared" si="4"/>
        <v>2167.2733333333335</v>
      </c>
      <c r="P20" s="27">
        <v>1566.06</v>
      </c>
      <c r="Q20" s="27">
        <f t="shared" si="1"/>
        <v>3733.3333333333335</v>
      </c>
      <c r="R20" s="30">
        <f>SUM(Q17:Q20)</f>
        <v>12162.666666666666</v>
      </c>
      <c r="S20" s="28"/>
    </row>
    <row r="21" spans="1:19" s="10" customFormat="1" ht="15.75" customHeight="1" x14ac:dyDescent="0.25">
      <c r="A21" s="3">
        <v>18</v>
      </c>
      <c r="B21" s="4" t="s">
        <v>54</v>
      </c>
      <c r="C21" s="4" t="s">
        <v>20</v>
      </c>
      <c r="D21" s="4" t="s">
        <v>46</v>
      </c>
      <c r="E21" s="323" t="s">
        <v>55</v>
      </c>
      <c r="F21" s="5">
        <f t="shared" si="5"/>
        <v>266.66666666666669</v>
      </c>
      <c r="G21" s="5">
        <v>4000</v>
      </c>
      <c r="H21" s="5">
        <f t="shared" si="3"/>
        <v>8000</v>
      </c>
      <c r="I21" s="6">
        <v>15</v>
      </c>
      <c r="J21" s="6"/>
      <c r="K21" s="56">
        <v>560</v>
      </c>
      <c r="L21" s="7"/>
      <c r="M21" s="7"/>
      <c r="N21" s="7"/>
      <c r="O21" s="80">
        <f t="shared" si="4"/>
        <v>1873.9400000000005</v>
      </c>
      <c r="P21" s="8">
        <v>1566.06</v>
      </c>
      <c r="Q21" s="8">
        <f t="shared" si="1"/>
        <v>3440.0000000000005</v>
      </c>
      <c r="R21" s="4"/>
      <c r="S21" s="9"/>
    </row>
    <row r="22" spans="1:19" s="10" customFormat="1" ht="15.75" customHeight="1" x14ac:dyDescent="0.25">
      <c r="A22" s="11">
        <v>19</v>
      </c>
      <c r="B22" s="12" t="s">
        <v>56</v>
      </c>
      <c r="C22" s="12" t="s">
        <v>40</v>
      </c>
      <c r="D22" s="12"/>
      <c r="E22" s="12" t="s">
        <v>115</v>
      </c>
      <c r="F22" s="13">
        <f t="shared" si="5"/>
        <v>166.66666666666666</v>
      </c>
      <c r="G22" s="13">
        <v>2500</v>
      </c>
      <c r="H22" s="13">
        <f t="shared" si="3"/>
        <v>5000</v>
      </c>
      <c r="I22" s="14">
        <v>12</v>
      </c>
      <c r="J22" s="14"/>
      <c r="K22" s="20"/>
      <c r="L22" s="15"/>
      <c r="M22" s="15"/>
      <c r="N22" s="15"/>
      <c r="O22" s="78">
        <f t="shared" si="4"/>
        <v>2000</v>
      </c>
      <c r="P22" s="16"/>
      <c r="Q22" s="16">
        <f t="shared" si="1"/>
        <v>2000</v>
      </c>
      <c r="R22" s="12"/>
      <c r="S22" s="17"/>
    </row>
    <row r="23" spans="1:19" s="10" customFormat="1" ht="15.75" customHeight="1" x14ac:dyDescent="0.25">
      <c r="A23" s="11">
        <v>20</v>
      </c>
      <c r="B23" s="12" t="s">
        <v>56</v>
      </c>
      <c r="C23" s="12" t="s">
        <v>40</v>
      </c>
      <c r="D23" s="12" t="s">
        <v>41</v>
      </c>
      <c r="E23" s="12" t="s">
        <v>57</v>
      </c>
      <c r="F23" s="13">
        <f t="shared" si="5"/>
        <v>166.66666666666666</v>
      </c>
      <c r="G23" s="13">
        <v>2500</v>
      </c>
      <c r="H23" s="13">
        <f t="shared" si="3"/>
        <v>5000</v>
      </c>
      <c r="I23" s="14">
        <v>15</v>
      </c>
      <c r="J23" s="14"/>
      <c r="K23" s="15"/>
      <c r="L23" s="15"/>
      <c r="M23" s="15"/>
      <c r="N23" s="15"/>
      <c r="O23" s="78">
        <f t="shared" si="4"/>
        <v>2500</v>
      </c>
      <c r="P23" s="16"/>
      <c r="Q23" s="16">
        <f t="shared" si="1"/>
        <v>2500</v>
      </c>
      <c r="R23" s="12"/>
      <c r="S23" s="17"/>
    </row>
    <row r="24" spans="1:19" s="10" customFormat="1" ht="15.75" customHeight="1" thickBot="1" x14ac:dyDescent="0.3">
      <c r="A24" s="22">
        <v>21</v>
      </c>
      <c r="B24" s="23" t="s">
        <v>56</v>
      </c>
      <c r="C24" s="23" t="s">
        <v>40</v>
      </c>
      <c r="D24" s="23" t="s">
        <v>41</v>
      </c>
      <c r="E24" s="23" t="s">
        <v>58</v>
      </c>
      <c r="F24" s="24">
        <f t="shared" si="5"/>
        <v>200</v>
      </c>
      <c r="G24" s="24">
        <v>3000</v>
      </c>
      <c r="H24" s="24">
        <f t="shared" si="3"/>
        <v>6000</v>
      </c>
      <c r="I24" s="25">
        <v>14</v>
      </c>
      <c r="J24" s="25"/>
      <c r="K24" s="26"/>
      <c r="L24" s="26"/>
      <c r="M24" s="26"/>
      <c r="N24" s="26"/>
      <c r="O24" s="79">
        <f t="shared" si="4"/>
        <v>2800</v>
      </c>
      <c r="P24" s="27"/>
      <c r="Q24" s="27">
        <f t="shared" si="1"/>
        <v>2800</v>
      </c>
      <c r="R24" s="30">
        <f>SUM(Q21:Q24)</f>
        <v>10740</v>
      </c>
      <c r="S24" s="28"/>
    </row>
    <row r="25" spans="1:19" s="10" customFormat="1" ht="15.75" customHeight="1" x14ac:dyDescent="0.25">
      <c r="A25" s="3">
        <v>22</v>
      </c>
      <c r="B25" s="4" t="s">
        <v>59</v>
      </c>
      <c r="C25" s="4" t="s">
        <v>20</v>
      </c>
      <c r="D25" s="4" t="s">
        <v>60</v>
      </c>
      <c r="E25" s="4" t="s">
        <v>61</v>
      </c>
      <c r="F25" s="5">
        <f t="shared" si="5"/>
        <v>266.66666666666669</v>
      </c>
      <c r="G25" s="5">
        <v>4000</v>
      </c>
      <c r="H25" s="5">
        <f>G25*2</f>
        <v>8000</v>
      </c>
      <c r="I25" s="6">
        <v>15</v>
      </c>
      <c r="J25" s="6"/>
      <c r="K25" s="7"/>
      <c r="L25" s="7"/>
      <c r="M25" s="7"/>
      <c r="N25" s="7"/>
      <c r="O25" s="80">
        <f>Q25-P25</f>
        <v>4000.0000000000005</v>
      </c>
      <c r="P25" s="8"/>
      <c r="Q25" s="8">
        <f t="shared" si="1"/>
        <v>4000.0000000000005</v>
      </c>
      <c r="R25" s="4"/>
      <c r="S25" s="9"/>
    </row>
    <row r="26" spans="1:19" s="10" customFormat="1" ht="15.75" customHeight="1" x14ac:dyDescent="0.25">
      <c r="A26" s="11">
        <v>23</v>
      </c>
      <c r="B26" s="12" t="s">
        <v>59</v>
      </c>
      <c r="C26" s="12" t="s">
        <v>40</v>
      </c>
      <c r="D26" s="12" t="s">
        <v>48</v>
      </c>
      <c r="E26" s="12" t="s">
        <v>49</v>
      </c>
      <c r="F26" s="13">
        <f>G26/15</f>
        <v>200</v>
      </c>
      <c r="G26" s="13">
        <v>3000</v>
      </c>
      <c r="H26" s="13">
        <f>G26*2</f>
        <v>6000</v>
      </c>
      <c r="I26" s="14">
        <v>15</v>
      </c>
      <c r="J26" s="14"/>
      <c r="K26" s="18">
        <v>565</v>
      </c>
      <c r="L26" s="15"/>
      <c r="M26" s="15"/>
      <c r="N26" s="15"/>
      <c r="O26" s="78">
        <f>Q26-P26</f>
        <v>2435</v>
      </c>
      <c r="P26" s="16"/>
      <c r="Q26" s="16">
        <f>(I26*F26)-(K26+L26+M26+N26)</f>
        <v>2435</v>
      </c>
      <c r="R26" s="31"/>
      <c r="S26" s="17"/>
    </row>
    <row r="27" spans="1:19" s="10" customFormat="1" ht="15.75" customHeight="1" x14ac:dyDescent="0.25">
      <c r="A27" s="11">
        <v>24</v>
      </c>
      <c r="B27" s="12" t="s">
        <v>59</v>
      </c>
      <c r="C27" s="12" t="s">
        <v>40</v>
      </c>
      <c r="D27" s="12" t="s">
        <v>48</v>
      </c>
      <c r="E27" s="21" t="s">
        <v>62</v>
      </c>
      <c r="F27" s="13">
        <f t="shared" si="5"/>
        <v>200</v>
      </c>
      <c r="G27" s="13">
        <v>3000</v>
      </c>
      <c r="H27" s="13">
        <f t="shared" si="3"/>
        <v>6000</v>
      </c>
      <c r="I27" s="14">
        <v>15</v>
      </c>
      <c r="J27" s="14"/>
      <c r="K27" s="15"/>
      <c r="L27" s="15">
        <v>100</v>
      </c>
      <c r="M27" s="15"/>
      <c r="N27" s="15"/>
      <c r="O27" s="78">
        <f t="shared" si="4"/>
        <v>2900</v>
      </c>
      <c r="P27" s="16"/>
      <c r="Q27" s="16">
        <f t="shared" si="1"/>
        <v>2900</v>
      </c>
      <c r="R27" s="12"/>
      <c r="S27" s="17"/>
    </row>
    <row r="28" spans="1:19" s="10" customFormat="1" ht="15.75" customHeight="1" thickBot="1" x14ac:dyDescent="0.3">
      <c r="A28" s="22">
        <v>25</v>
      </c>
      <c r="B28" s="23" t="s">
        <v>59</v>
      </c>
      <c r="C28" s="23" t="s">
        <v>40</v>
      </c>
      <c r="D28" s="23" t="s">
        <v>48</v>
      </c>
      <c r="E28" s="29" t="s">
        <v>63</v>
      </c>
      <c r="F28" s="24">
        <f t="shared" si="5"/>
        <v>200</v>
      </c>
      <c r="G28" s="24">
        <v>3000</v>
      </c>
      <c r="H28" s="24">
        <f t="shared" si="3"/>
        <v>6000</v>
      </c>
      <c r="I28" s="25">
        <v>14</v>
      </c>
      <c r="J28" s="25"/>
      <c r="K28" s="26"/>
      <c r="L28" s="26">
        <v>50</v>
      </c>
      <c r="M28" s="26"/>
      <c r="N28" s="26"/>
      <c r="O28" s="79">
        <f t="shared" si="4"/>
        <v>2750</v>
      </c>
      <c r="P28" s="27"/>
      <c r="Q28" s="27">
        <f t="shared" si="1"/>
        <v>2750</v>
      </c>
      <c r="R28" s="30">
        <f>SUM(Q25:Q28)</f>
        <v>12085</v>
      </c>
      <c r="S28" s="28"/>
    </row>
    <row r="29" spans="1:19" s="10" customFormat="1" ht="15.75" customHeight="1" x14ac:dyDescent="0.25">
      <c r="A29" s="3">
        <v>26</v>
      </c>
      <c r="B29" s="4" t="s">
        <v>64</v>
      </c>
      <c r="C29" s="4" t="s">
        <v>65</v>
      </c>
      <c r="D29" s="4" t="s">
        <v>66</v>
      </c>
      <c r="E29" s="59" t="s">
        <v>67</v>
      </c>
      <c r="F29" s="5">
        <f t="shared" si="5"/>
        <v>166.66666666666666</v>
      </c>
      <c r="G29" s="5">
        <v>2500</v>
      </c>
      <c r="H29" s="5">
        <f t="shared" si="3"/>
        <v>5000</v>
      </c>
      <c r="I29" s="6">
        <v>15</v>
      </c>
      <c r="J29" s="6"/>
      <c r="K29" s="7"/>
      <c r="L29" s="7"/>
      <c r="M29" s="7"/>
      <c r="N29" s="7"/>
      <c r="O29" s="80">
        <f t="shared" si="4"/>
        <v>933.94</v>
      </c>
      <c r="P29" s="8">
        <v>1566.06</v>
      </c>
      <c r="Q29" s="8">
        <f t="shared" si="1"/>
        <v>2500</v>
      </c>
      <c r="R29" s="4"/>
      <c r="S29" s="9"/>
    </row>
    <row r="30" spans="1:19" s="10" customFormat="1" ht="15.75" customHeight="1" x14ac:dyDescent="0.25">
      <c r="A30" s="11">
        <v>27</v>
      </c>
      <c r="B30" s="12" t="s">
        <v>64</v>
      </c>
      <c r="C30" s="12" t="s">
        <v>40</v>
      </c>
      <c r="D30" s="12" t="s">
        <v>41</v>
      </c>
      <c r="E30" s="12" t="s">
        <v>68</v>
      </c>
      <c r="F30" s="13">
        <f t="shared" si="5"/>
        <v>233.33333333333334</v>
      </c>
      <c r="G30" s="13">
        <v>3500</v>
      </c>
      <c r="H30" s="13">
        <f t="shared" si="3"/>
        <v>7000</v>
      </c>
      <c r="I30" s="14">
        <v>15</v>
      </c>
      <c r="J30" s="14"/>
      <c r="K30" s="15">
        <v>600</v>
      </c>
      <c r="L30" s="15">
        <v>50</v>
      </c>
      <c r="M30" s="15"/>
      <c r="N30" s="15"/>
      <c r="O30" s="78">
        <f t="shared" si="4"/>
        <v>2850</v>
      </c>
      <c r="P30" s="16"/>
      <c r="Q30" s="16">
        <f t="shared" si="1"/>
        <v>2850</v>
      </c>
      <c r="R30" s="12"/>
      <c r="S30" s="17"/>
    </row>
    <row r="31" spans="1:19" s="10" customFormat="1" ht="15.75" customHeight="1" thickBot="1" x14ac:dyDescent="0.3">
      <c r="A31" s="22">
        <v>28</v>
      </c>
      <c r="B31" s="23" t="s">
        <v>69</v>
      </c>
      <c r="C31" s="23" t="s">
        <v>40</v>
      </c>
      <c r="D31" s="23" t="s">
        <v>70</v>
      </c>
      <c r="E31" s="23" t="s">
        <v>71</v>
      </c>
      <c r="F31" s="24">
        <f t="shared" si="5"/>
        <v>266.66666666666669</v>
      </c>
      <c r="G31" s="24">
        <v>4000</v>
      </c>
      <c r="H31" s="24">
        <f t="shared" si="3"/>
        <v>8000</v>
      </c>
      <c r="I31" s="25">
        <v>15</v>
      </c>
      <c r="J31" s="25"/>
      <c r="K31" s="26"/>
      <c r="L31" s="26"/>
      <c r="M31" s="26">
        <v>200</v>
      </c>
      <c r="N31" s="26"/>
      <c r="O31" s="79">
        <f t="shared" si="4"/>
        <v>3800.0000000000005</v>
      </c>
      <c r="P31" s="27"/>
      <c r="Q31" s="27">
        <f t="shared" si="1"/>
        <v>3800.0000000000005</v>
      </c>
      <c r="R31" s="32">
        <f>SUM(Q29:Q31)</f>
        <v>9150</v>
      </c>
      <c r="S31" s="28"/>
    </row>
    <row r="32" spans="1:19" s="10" customFormat="1" ht="15.75" customHeight="1" x14ac:dyDescent="0.25">
      <c r="A32" s="3">
        <v>29</v>
      </c>
      <c r="B32" s="4" t="s">
        <v>72</v>
      </c>
      <c r="C32" s="4" t="s">
        <v>20</v>
      </c>
      <c r="D32" s="4" t="s">
        <v>46</v>
      </c>
      <c r="E32" s="4" t="s">
        <v>73</v>
      </c>
      <c r="F32" s="5">
        <f t="shared" si="5"/>
        <v>266.66666666666669</v>
      </c>
      <c r="G32" s="5">
        <v>4000</v>
      </c>
      <c r="H32" s="5">
        <f t="shared" si="3"/>
        <v>8000</v>
      </c>
      <c r="I32" s="6">
        <v>15</v>
      </c>
      <c r="J32" s="6"/>
      <c r="K32" s="7"/>
      <c r="L32" s="7">
        <v>133</v>
      </c>
      <c r="M32" s="7"/>
      <c r="N32" s="7"/>
      <c r="O32" s="80">
        <f t="shared" si="4"/>
        <v>3867.0000000000005</v>
      </c>
      <c r="P32" s="8"/>
      <c r="Q32" s="8">
        <f t="shared" si="1"/>
        <v>3867.0000000000005</v>
      </c>
      <c r="R32" s="4"/>
      <c r="S32" s="9"/>
    </row>
    <row r="33" spans="1:19" s="10" customFormat="1" ht="15.75" customHeight="1" x14ac:dyDescent="0.25">
      <c r="A33" s="11">
        <v>30</v>
      </c>
      <c r="B33" s="12" t="s">
        <v>72</v>
      </c>
      <c r="C33" s="12" t="s">
        <v>20</v>
      </c>
      <c r="D33" s="12" t="s">
        <v>43</v>
      </c>
      <c r="E33" s="21" t="s">
        <v>44</v>
      </c>
      <c r="F33" s="13">
        <f>G33/15</f>
        <v>200</v>
      </c>
      <c r="G33" s="13">
        <v>3000</v>
      </c>
      <c r="H33" s="13">
        <f>G33*2</f>
        <v>6000</v>
      </c>
      <c r="I33" s="14">
        <v>14</v>
      </c>
      <c r="J33" s="14"/>
      <c r="K33" s="18">
        <v>404</v>
      </c>
      <c r="L33" s="15"/>
      <c r="M33" s="15">
        <v>200</v>
      </c>
      <c r="N33" s="15"/>
      <c r="O33" s="78">
        <f>Q33-P33</f>
        <v>2196</v>
      </c>
      <c r="P33" s="43"/>
      <c r="Q33" s="16">
        <f>(I33*F33)-(K33+L33+M33+N33)</f>
        <v>2196</v>
      </c>
      <c r="R33" s="44"/>
      <c r="S33" s="17"/>
    </row>
    <row r="34" spans="1:19" s="10" customFormat="1" ht="16.5" customHeight="1" x14ac:dyDescent="0.25">
      <c r="A34" s="11">
        <v>31</v>
      </c>
      <c r="B34" s="12" t="s">
        <v>72</v>
      </c>
      <c r="C34" s="12" t="s">
        <v>40</v>
      </c>
      <c r="D34" s="12" t="s">
        <v>74</v>
      </c>
      <c r="E34" s="12" t="s">
        <v>75</v>
      </c>
      <c r="F34" s="13">
        <f t="shared" si="5"/>
        <v>200</v>
      </c>
      <c r="G34" s="13">
        <v>3000</v>
      </c>
      <c r="H34" s="13">
        <f t="shared" si="3"/>
        <v>6000</v>
      </c>
      <c r="I34" s="14">
        <v>14</v>
      </c>
      <c r="J34" s="14"/>
      <c r="K34" s="15"/>
      <c r="L34" s="20"/>
      <c r="M34" s="15">
        <v>200</v>
      </c>
      <c r="N34" s="15"/>
      <c r="O34" s="78">
        <f t="shared" si="4"/>
        <v>2600</v>
      </c>
      <c r="P34" s="16"/>
      <c r="Q34" s="16">
        <f t="shared" si="1"/>
        <v>2600</v>
      </c>
      <c r="R34" s="12"/>
      <c r="S34" s="17"/>
    </row>
    <row r="35" spans="1:19" s="10" customFormat="1" ht="15.75" customHeight="1" x14ac:dyDescent="0.25">
      <c r="A35" s="11">
        <v>32</v>
      </c>
      <c r="B35" s="12" t="s">
        <v>72</v>
      </c>
      <c r="C35" s="12" t="s">
        <v>40</v>
      </c>
      <c r="D35" s="12" t="s">
        <v>66</v>
      </c>
      <c r="E35" s="12" t="s">
        <v>110</v>
      </c>
      <c r="F35" s="13">
        <f>G35/15</f>
        <v>166.66666666666666</v>
      </c>
      <c r="G35" s="13">
        <v>2500</v>
      </c>
      <c r="H35" s="13">
        <f>G35*2</f>
        <v>5000</v>
      </c>
      <c r="I35" s="14">
        <v>15</v>
      </c>
      <c r="J35" s="14"/>
      <c r="K35" s="15"/>
      <c r="L35" s="15"/>
      <c r="M35" s="15"/>
      <c r="N35" s="15"/>
      <c r="O35" s="78">
        <f>Q35-P35</f>
        <v>933.94</v>
      </c>
      <c r="P35" s="16">
        <v>1566.06</v>
      </c>
      <c r="Q35" s="16">
        <f>(I35*F35)-(K35+L35+M35+N35)</f>
        <v>2500</v>
      </c>
      <c r="R35" s="12"/>
      <c r="S35" s="17"/>
    </row>
    <row r="36" spans="1:19" s="10" customFormat="1" ht="15.75" customHeight="1" x14ac:dyDescent="0.25">
      <c r="A36" s="11">
        <v>33</v>
      </c>
      <c r="B36" s="12" t="s">
        <v>72</v>
      </c>
      <c r="C36" s="12" t="s">
        <v>40</v>
      </c>
      <c r="D36" s="12" t="s">
        <v>41</v>
      </c>
      <c r="E36" s="60" t="s">
        <v>77</v>
      </c>
      <c r="F36" s="13">
        <f>G36/15</f>
        <v>200</v>
      </c>
      <c r="G36" s="13">
        <v>3000</v>
      </c>
      <c r="H36" s="13">
        <f>G36*2</f>
        <v>6000</v>
      </c>
      <c r="I36" s="14">
        <v>12</v>
      </c>
      <c r="J36" s="14"/>
      <c r="K36" s="15"/>
      <c r="L36" s="15"/>
      <c r="M36" s="15"/>
      <c r="N36" s="15"/>
      <c r="O36" s="78">
        <f>Q36-P36</f>
        <v>2400</v>
      </c>
      <c r="P36" s="16"/>
      <c r="Q36" s="16">
        <f>(I36*F36)-(K36+L36+M36+N36)</f>
        <v>2400</v>
      </c>
      <c r="R36" s="31"/>
      <c r="S36" s="17"/>
    </row>
    <row r="37" spans="1:19" s="10" customFormat="1" ht="15.75" customHeight="1" x14ac:dyDescent="0.25">
      <c r="A37" s="11">
        <v>34</v>
      </c>
      <c r="B37" s="12" t="s">
        <v>72</v>
      </c>
      <c r="C37" s="12" t="s">
        <v>40</v>
      </c>
      <c r="D37" s="12" t="s">
        <v>41</v>
      </c>
      <c r="E37" s="12" t="s">
        <v>78</v>
      </c>
      <c r="F37" s="13">
        <f t="shared" si="5"/>
        <v>200</v>
      </c>
      <c r="G37" s="13">
        <v>3000</v>
      </c>
      <c r="H37" s="13">
        <f t="shared" si="3"/>
        <v>6000</v>
      </c>
      <c r="I37" s="14">
        <v>15</v>
      </c>
      <c r="J37" s="14"/>
      <c r="K37" s="15"/>
      <c r="L37" s="15"/>
      <c r="M37" s="15"/>
      <c r="N37" s="15"/>
      <c r="O37" s="78">
        <f t="shared" si="4"/>
        <v>3000</v>
      </c>
      <c r="P37" s="16"/>
      <c r="Q37" s="16">
        <f t="shared" si="1"/>
        <v>3000</v>
      </c>
      <c r="R37" s="12"/>
      <c r="S37" s="17"/>
    </row>
    <row r="38" spans="1:19" s="10" customFormat="1" ht="15.75" customHeight="1" thickBot="1" x14ac:dyDescent="0.3">
      <c r="A38" s="22">
        <v>35</v>
      </c>
      <c r="B38" s="23" t="s">
        <v>72</v>
      </c>
      <c r="C38" s="23" t="s">
        <v>79</v>
      </c>
      <c r="D38" s="23" t="s">
        <v>80</v>
      </c>
      <c r="E38" s="33" t="s">
        <v>81</v>
      </c>
      <c r="F38" s="24">
        <f t="shared" si="5"/>
        <v>233.33333333333334</v>
      </c>
      <c r="G38" s="24">
        <v>3500</v>
      </c>
      <c r="H38" s="24">
        <f t="shared" si="3"/>
        <v>7000</v>
      </c>
      <c r="I38" s="25">
        <v>17</v>
      </c>
      <c r="J38" s="25"/>
      <c r="K38" s="26"/>
      <c r="L38" s="26"/>
      <c r="M38" s="26"/>
      <c r="N38" s="26"/>
      <c r="O38" s="79">
        <f t="shared" si="4"/>
        <v>3966.666666666667</v>
      </c>
      <c r="P38" s="27"/>
      <c r="Q38" s="27">
        <f t="shared" si="1"/>
        <v>3966.666666666667</v>
      </c>
      <c r="R38" s="30">
        <f>SUM(Q32:Q38)</f>
        <v>20529.666666666668</v>
      </c>
      <c r="S38" s="28"/>
    </row>
    <row r="39" spans="1:19" s="10" customFormat="1" ht="15.75" customHeight="1" x14ac:dyDescent="0.25">
      <c r="A39" s="3">
        <v>36</v>
      </c>
      <c r="B39" s="4" t="s">
        <v>82</v>
      </c>
      <c r="C39" s="4" t="s">
        <v>79</v>
      </c>
      <c r="D39" s="4" t="s">
        <v>83</v>
      </c>
      <c r="E39" s="34" t="s">
        <v>84</v>
      </c>
      <c r="F39" s="5">
        <f t="shared" si="5"/>
        <v>200</v>
      </c>
      <c r="G39" s="5">
        <v>3000</v>
      </c>
      <c r="H39" s="5">
        <f t="shared" si="3"/>
        <v>6000</v>
      </c>
      <c r="I39" s="6">
        <v>15</v>
      </c>
      <c r="J39" s="6"/>
      <c r="K39" s="7"/>
      <c r="L39" s="7"/>
      <c r="M39" s="7"/>
      <c r="N39" s="7"/>
      <c r="O39" s="80">
        <f t="shared" si="4"/>
        <v>3000</v>
      </c>
      <c r="P39" s="8"/>
      <c r="Q39" s="8">
        <f t="shared" si="1"/>
        <v>3000</v>
      </c>
      <c r="R39" s="4"/>
      <c r="S39" s="9"/>
    </row>
    <row r="40" spans="1:19" s="10" customFormat="1" ht="15.75" customHeight="1" x14ac:dyDescent="0.25">
      <c r="A40" s="11">
        <v>37</v>
      </c>
      <c r="B40" s="12" t="s">
        <v>82</v>
      </c>
      <c r="C40" s="12" t="s">
        <v>79</v>
      </c>
      <c r="D40" s="12" t="s">
        <v>85</v>
      </c>
      <c r="E40" s="35" t="s">
        <v>86</v>
      </c>
      <c r="F40" s="13">
        <f t="shared" si="5"/>
        <v>200</v>
      </c>
      <c r="G40" s="13">
        <v>3000</v>
      </c>
      <c r="H40" s="13">
        <f t="shared" si="3"/>
        <v>6000</v>
      </c>
      <c r="I40" s="14">
        <v>15</v>
      </c>
      <c r="J40" s="14"/>
      <c r="K40" s="15"/>
      <c r="L40" s="15"/>
      <c r="M40" s="15"/>
      <c r="N40" s="15"/>
      <c r="O40" s="78">
        <f t="shared" si="4"/>
        <v>3000</v>
      </c>
      <c r="P40" s="16"/>
      <c r="Q40" s="16">
        <f t="shared" si="1"/>
        <v>3000</v>
      </c>
      <c r="R40" s="12"/>
      <c r="S40" s="17"/>
    </row>
    <row r="41" spans="1:19" s="10" customFormat="1" ht="15.75" customHeight="1" thickBot="1" x14ac:dyDescent="0.3">
      <c r="A41" s="22">
        <v>38</v>
      </c>
      <c r="B41" s="23" t="s">
        <v>82</v>
      </c>
      <c r="C41" s="23" t="s">
        <v>65</v>
      </c>
      <c r="D41" s="23" t="s">
        <v>66</v>
      </c>
      <c r="E41" s="23" t="s">
        <v>87</v>
      </c>
      <c r="F41" s="24">
        <f t="shared" si="5"/>
        <v>166.66666666666666</v>
      </c>
      <c r="G41" s="24">
        <v>2500</v>
      </c>
      <c r="H41" s="24">
        <f t="shared" si="3"/>
        <v>5000</v>
      </c>
      <c r="I41" s="25">
        <v>15</v>
      </c>
      <c r="J41" s="25"/>
      <c r="K41" s="26">
        <v>468</v>
      </c>
      <c r="L41" s="47"/>
      <c r="M41" s="26"/>
      <c r="N41" s="26"/>
      <c r="O41" s="79">
        <f t="shared" si="4"/>
        <v>465.94000000000005</v>
      </c>
      <c r="P41" s="27">
        <v>1566.06</v>
      </c>
      <c r="Q41" s="27">
        <f t="shared" si="1"/>
        <v>2032</v>
      </c>
      <c r="R41" s="46">
        <f>SUM(Q39:Q41)</f>
        <v>8032</v>
      </c>
      <c r="S41" s="28"/>
    </row>
    <row r="42" spans="1:19" s="10" customFormat="1" ht="15.75" customHeight="1" x14ac:dyDescent="0.25">
      <c r="A42" s="3">
        <v>39</v>
      </c>
      <c r="B42" s="4" t="s">
        <v>88</v>
      </c>
      <c r="C42" s="4" t="s">
        <v>50</v>
      </c>
      <c r="D42" s="4" t="s">
        <v>89</v>
      </c>
      <c r="E42" s="4" t="s">
        <v>116</v>
      </c>
      <c r="F42" s="5">
        <f t="shared" si="5"/>
        <v>200</v>
      </c>
      <c r="G42" s="58">
        <v>3000</v>
      </c>
      <c r="H42" s="5">
        <f>G42*2</f>
        <v>6000</v>
      </c>
      <c r="I42" s="6">
        <v>9</v>
      </c>
      <c r="J42" s="6"/>
      <c r="K42" s="7"/>
      <c r="L42" s="7"/>
      <c r="M42" s="7"/>
      <c r="N42" s="7"/>
      <c r="O42" s="80">
        <f>Q42-P42</f>
        <v>1800</v>
      </c>
      <c r="P42" s="8"/>
      <c r="Q42" s="8">
        <f t="shared" si="1"/>
        <v>1800</v>
      </c>
      <c r="R42" s="4"/>
      <c r="S42" s="9"/>
    </row>
    <row r="43" spans="1:19" s="10" customFormat="1" ht="15.75" customHeight="1" x14ac:dyDescent="0.25">
      <c r="A43" s="11">
        <v>40</v>
      </c>
      <c r="B43" s="12" t="s">
        <v>88</v>
      </c>
      <c r="C43" s="12" t="s">
        <v>20</v>
      </c>
      <c r="D43" s="12" t="s">
        <v>90</v>
      </c>
      <c r="E43" s="12" t="s">
        <v>91</v>
      </c>
      <c r="F43" s="13">
        <f t="shared" si="5"/>
        <v>333.33333333333331</v>
      </c>
      <c r="G43" s="13">
        <v>5000</v>
      </c>
      <c r="H43" s="13">
        <f t="shared" si="3"/>
        <v>10000</v>
      </c>
      <c r="I43" s="14">
        <v>15</v>
      </c>
      <c r="J43" s="14"/>
      <c r="K43" s="15"/>
      <c r="L43" s="15"/>
      <c r="M43" s="15"/>
      <c r="N43" s="15"/>
      <c r="O43" s="78">
        <f t="shared" si="4"/>
        <v>5000</v>
      </c>
      <c r="P43" s="16"/>
      <c r="Q43" s="16">
        <f t="shared" si="1"/>
        <v>5000</v>
      </c>
      <c r="R43" s="12"/>
      <c r="S43" s="17"/>
    </row>
    <row r="44" spans="1:19" s="10" customFormat="1" ht="15.75" customHeight="1" x14ac:dyDescent="0.25">
      <c r="A44" s="11">
        <v>41</v>
      </c>
      <c r="B44" s="12" t="s">
        <v>88</v>
      </c>
      <c r="C44" s="12" t="s">
        <v>40</v>
      </c>
      <c r="D44" s="12" t="s">
        <v>74</v>
      </c>
      <c r="E44" s="12" t="s">
        <v>76</v>
      </c>
      <c r="F44" s="13">
        <f>G44/15</f>
        <v>200</v>
      </c>
      <c r="G44" s="13">
        <v>3000</v>
      </c>
      <c r="H44" s="13">
        <f>G44*2</f>
        <v>6000</v>
      </c>
      <c r="I44" s="14">
        <v>13</v>
      </c>
      <c r="J44" s="14"/>
      <c r="K44" s="15"/>
      <c r="L44" s="15">
        <v>100</v>
      </c>
      <c r="M44" s="15"/>
      <c r="N44" s="15"/>
      <c r="O44" s="78">
        <f>Q44-P44</f>
        <v>2500</v>
      </c>
      <c r="P44" s="16"/>
      <c r="Q44" s="16">
        <f>(I44*F44)-(K44+L44+M44+N44)</f>
        <v>2500</v>
      </c>
      <c r="R44" s="13"/>
      <c r="S44" s="17"/>
    </row>
    <row r="45" spans="1:19" s="10" customFormat="1" ht="15.75" customHeight="1" x14ac:dyDescent="0.25">
      <c r="A45" s="11">
        <v>42</v>
      </c>
      <c r="B45" s="12" t="s">
        <v>88</v>
      </c>
      <c r="C45" s="12" t="s">
        <v>40</v>
      </c>
      <c r="D45" s="12" t="s">
        <v>94</v>
      </c>
      <c r="E45" s="12" t="s">
        <v>95</v>
      </c>
      <c r="F45" s="13">
        <f t="shared" si="5"/>
        <v>200</v>
      </c>
      <c r="G45" s="13">
        <v>3000</v>
      </c>
      <c r="H45" s="13">
        <f t="shared" si="3"/>
        <v>6000</v>
      </c>
      <c r="I45" s="14">
        <v>15</v>
      </c>
      <c r="J45" s="14"/>
      <c r="K45" s="18">
        <f>500+160</f>
        <v>660</v>
      </c>
      <c r="L45" s="15"/>
      <c r="M45" s="15"/>
      <c r="N45" s="15"/>
      <c r="O45" s="78">
        <f t="shared" si="4"/>
        <v>2340</v>
      </c>
      <c r="P45" s="45"/>
      <c r="Q45" s="16">
        <f t="shared" si="1"/>
        <v>2340</v>
      </c>
      <c r="R45" s="12"/>
      <c r="S45" s="17"/>
    </row>
    <row r="46" spans="1:19" s="10" customFormat="1" ht="15.75" customHeight="1" thickBot="1" x14ac:dyDescent="0.3">
      <c r="A46" s="22">
        <v>43</v>
      </c>
      <c r="B46" s="29" t="s">
        <v>88</v>
      </c>
      <c r="C46" s="29" t="s">
        <v>79</v>
      </c>
      <c r="D46" s="29" t="s">
        <v>80</v>
      </c>
      <c r="E46" s="29" t="s">
        <v>96</v>
      </c>
      <c r="F46" s="24">
        <f t="shared" si="5"/>
        <v>183.33333333333334</v>
      </c>
      <c r="G46" s="24">
        <v>2750</v>
      </c>
      <c r="H46" s="24">
        <f t="shared" si="3"/>
        <v>5500</v>
      </c>
      <c r="I46" s="25">
        <v>17</v>
      </c>
      <c r="J46" s="25"/>
      <c r="K46" s="26"/>
      <c r="L46" s="26"/>
      <c r="M46" s="26"/>
      <c r="N46" s="26"/>
      <c r="O46" s="79">
        <f t="shared" si="4"/>
        <v>3116.666666666667</v>
      </c>
      <c r="P46" s="27"/>
      <c r="Q46" s="27">
        <f t="shared" si="1"/>
        <v>3116.666666666667</v>
      </c>
      <c r="R46" s="46">
        <f>SUM(Q42:Q46)</f>
        <v>14756.666666666668</v>
      </c>
      <c r="S46" s="28"/>
    </row>
    <row r="47" spans="1:19" s="10" customFormat="1" ht="15.75" customHeight="1" x14ac:dyDescent="0.25">
      <c r="A47" s="3">
        <v>44</v>
      </c>
      <c r="B47" s="4" t="s">
        <v>97</v>
      </c>
      <c r="C47" s="4" t="s">
        <v>50</v>
      </c>
      <c r="D47" s="4" t="s">
        <v>51</v>
      </c>
      <c r="E47" s="4" t="s">
        <v>98</v>
      </c>
      <c r="F47" s="5">
        <f t="shared" si="5"/>
        <v>200</v>
      </c>
      <c r="G47" s="5">
        <v>3000</v>
      </c>
      <c r="H47" s="5">
        <f t="shared" si="3"/>
        <v>6000</v>
      </c>
      <c r="I47" s="6">
        <v>15</v>
      </c>
      <c r="J47" s="6"/>
      <c r="K47" s="7"/>
      <c r="L47" s="7"/>
      <c r="M47" s="7"/>
      <c r="N47" s="7"/>
      <c r="O47" s="80">
        <f t="shared" si="4"/>
        <v>3000</v>
      </c>
      <c r="P47" s="8"/>
      <c r="Q47" s="8">
        <f t="shared" si="1"/>
        <v>3000</v>
      </c>
      <c r="R47" s="4"/>
      <c r="S47" s="9"/>
    </row>
    <row r="48" spans="1:19" s="10" customFormat="1" ht="15.75" customHeight="1" thickBot="1" x14ac:dyDescent="0.3">
      <c r="A48" s="22">
        <v>45</v>
      </c>
      <c r="B48" s="23" t="s">
        <v>97</v>
      </c>
      <c r="C48" s="23" t="s">
        <v>40</v>
      </c>
      <c r="D48" s="23" t="s">
        <v>41</v>
      </c>
      <c r="E48" s="23" t="s">
        <v>99</v>
      </c>
      <c r="F48" s="24">
        <f t="shared" si="5"/>
        <v>166.66666666666666</v>
      </c>
      <c r="G48" s="24">
        <v>2500</v>
      </c>
      <c r="H48" s="24">
        <f t="shared" si="3"/>
        <v>5000</v>
      </c>
      <c r="I48" s="25">
        <v>15</v>
      </c>
      <c r="J48" s="25"/>
      <c r="K48" s="26"/>
      <c r="L48" s="26"/>
      <c r="M48" s="26"/>
      <c r="N48" s="26"/>
      <c r="O48" s="79">
        <f t="shared" si="4"/>
        <v>2500</v>
      </c>
      <c r="P48" s="27"/>
      <c r="Q48" s="27">
        <f t="shared" si="1"/>
        <v>2500</v>
      </c>
      <c r="R48" s="46">
        <f>SUM(Q47:Q48)</f>
        <v>5500</v>
      </c>
      <c r="S48" s="28"/>
    </row>
    <row r="49" spans="1:19" s="10" customFormat="1" ht="15.75" customHeight="1" x14ac:dyDescent="0.25">
      <c r="A49" s="3">
        <v>46</v>
      </c>
      <c r="B49" s="4" t="s">
        <v>100</v>
      </c>
      <c r="C49" s="4" t="s">
        <v>20</v>
      </c>
      <c r="D49" s="4" t="s">
        <v>46</v>
      </c>
      <c r="E49" s="4" t="s">
        <v>117</v>
      </c>
      <c r="F49" s="5">
        <f>G49/15</f>
        <v>266.66666666666669</v>
      </c>
      <c r="G49" s="5">
        <v>4000</v>
      </c>
      <c r="H49" s="5">
        <f>G49*2</f>
        <v>8000</v>
      </c>
      <c r="I49" s="6">
        <v>9</v>
      </c>
      <c r="J49" s="6"/>
      <c r="K49" s="7"/>
      <c r="L49" s="7"/>
      <c r="M49" s="7"/>
      <c r="N49" s="7"/>
      <c r="O49" s="80">
        <f>Q49-P49</f>
        <v>2400</v>
      </c>
      <c r="P49" s="8"/>
      <c r="Q49" s="8">
        <f>(I49*F49)-(K49+L49+M49+N49)</f>
        <v>2400</v>
      </c>
      <c r="R49" s="4"/>
      <c r="S49" s="9"/>
    </row>
    <row r="50" spans="1:19" s="10" customFormat="1" ht="15.75" customHeight="1" x14ac:dyDescent="0.25">
      <c r="A50" s="11">
        <v>47</v>
      </c>
      <c r="B50" s="12" t="s">
        <v>100</v>
      </c>
      <c r="C50" s="12" t="s">
        <v>40</v>
      </c>
      <c r="D50" s="12" t="s">
        <v>101</v>
      </c>
      <c r="E50" s="12" t="s">
        <v>102</v>
      </c>
      <c r="F50" s="13">
        <f t="shared" si="5"/>
        <v>200</v>
      </c>
      <c r="G50" s="13">
        <v>3000</v>
      </c>
      <c r="H50" s="13">
        <f t="shared" si="3"/>
        <v>6000</v>
      </c>
      <c r="I50" s="14">
        <v>15</v>
      </c>
      <c r="J50" s="14"/>
      <c r="K50" s="15"/>
      <c r="L50" s="15"/>
      <c r="M50" s="15"/>
      <c r="N50" s="15"/>
      <c r="O50" s="78">
        <f t="shared" si="4"/>
        <v>3000</v>
      </c>
      <c r="P50" s="16"/>
      <c r="Q50" s="16">
        <f t="shared" si="1"/>
        <v>3000</v>
      </c>
      <c r="R50" s="12"/>
      <c r="S50" s="17"/>
    </row>
    <row r="51" spans="1:19" s="10" customFormat="1" ht="15.75" customHeight="1" x14ac:dyDescent="0.25">
      <c r="A51" s="11">
        <v>48</v>
      </c>
      <c r="B51" s="12" t="s">
        <v>100</v>
      </c>
      <c r="C51" s="12" t="s">
        <v>40</v>
      </c>
      <c r="D51" s="12"/>
      <c r="E51" s="12" t="s">
        <v>92</v>
      </c>
      <c r="F51" s="13">
        <f>G51/15</f>
        <v>200</v>
      </c>
      <c r="G51" s="13">
        <v>3000</v>
      </c>
      <c r="H51" s="13">
        <f>G51*2</f>
        <v>6000</v>
      </c>
      <c r="I51" s="14">
        <v>15</v>
      </c>
      <c r="J51" s="14"/>
      <c r="K51" s="15"/>
      <c r="L51" s="15"/>
      <c r="M51" s="15"/>
      <c r="N51" s="15"/>
      <c r="O51" s="78">
        <f>Q51-P51</f>
        <v>3000</v>
      </c>
      <c r="P51" s="16"/>
      <c r="Q51" s="16">
        <f>(I51*F51)-(K51+L51+M51+N51)</f>
        <v>3000</v>
      </c>
      <c r="R51" s="12"/>
      <c r="S51" s="17"/>
    </row>
    <row r="52" spans="1:19" s="10" customFormat="1" ht="15.75" customHeight="1" x14ac:dyDescent="0.25">
      <c r="A52" s="11">
        <v>49</v>
      </c>
      <c r="B52" s="12" t="s">
        <v>103</v>
      </c>
      <c r="C52" s="12" t="s">
        <v>40</v>
      </c>
      <c r="D52" s="12" t="s">
        <v>90</v>
      </c>
      <c r="E52" s="12" t="s">
        <v>104</v>
      </c>
      <c r="F52" s="13">
        <f t="shared" si="5"/>
        <v>200</v>
      </c>
      <c r="G52" s="13">
        <v>3000</v>
      </c>
      <c r="H52" s="13">
        <f t="shared" si="3"/>
        <v>6000</v>
      </c>
      <c r="I52" s="14">
        <v>14</v>
      </c>
      <c r="J52" s="14"/>
      <c r="K52" s="18">
        <v>1000</v>
      </c>
      <c r="L52" s="15"/>
      <c r="M52" s="15"/>
      <c r="N52" s="15"/>
      <c r="O52" s="78">
        <f t="shared" si="4"/>
        <v>1800</v>
      </c>
      <c r="P52" s="16"/>
      <c r="Q52" s="16">
        <f t="shared" si="1"/>
        <v>1800</v>
      </c>
      <c r="R52" s="12"/>
      <c r="S52" s="17"/>
    </row>
    <row r="53" spans="1:19" s="10" customFormat="1" ht="15.75" customHeight="1" x14ac:dyDescent="0.25">
      <c r="A53" s="11">
        <v>50</v>
      </c>
      <c r="B53" s="12" t="s">
        <v>100</v>
      </c>
      <c r="C53" s="12" t="s">
        <v>40</v>
      </c>
      <c r="D53" s="12" t="s">
        <v>41</v>
      </c>
      <c r="E53" s="324" t="s">
        <v>105</v>
      </c>
      <c r="F53" s="13">
        <f t="shared" si="5"/>
        <v>266.66666666666669</v>
      </c>
      <c r="G53" s="13">
        <v>4000</v>
      </c>
      <c r="H53" s="13">
        <f>G53*2</f>
        <v>8000</v>
      </c>
      <c r="I53" s="14">
        <v>15</v>
      </c>
      <c r="J53" s="14"/>
      <c r="K53" s="18">
        <v>600</v>
      </c>
      <c r="L53" s="15"/>
      <c r="M53" s="15"/>
      <c r="N53" s="15"/>
      <c r="O53" s="78">
        <f>Q53-P53</f>
        <v>1833.9400000000005</v>
      </c>
      <c r="P53" s="16">
        <v>1566.06</v>
      </c>
      <c r="Q53" s="16">
        <f t="shared" si="1"/>
        <v>3400.0000000000005</v>
      </c>
      <c r="R53" s="12"/>
      <c r="S53" s="17"/>
    </row>
    <row r="54" spans="1:19" s="10" customFormat="1" ht="15.75" customHeight="1" x14ac:dyDescent="0.25">
      <c r="A54" s="22"/>
      <c r="B54" s="12" t="s">
        <v>100</v>
      </c>
      <c r="C54" s="23" t="s">
        <v>121</v>
      </c>
      <c r="D54" s="23"/>
      <c r="E54" s="23" t="s">
        <v>122</v>
      </c>
      <c r="F54" s="24">
        <f t="shared" si="5"/>
        <v>233.33333333333334</v>
      </c>
      <c r="G54" s="24">
        <v>3500</v>
      </c>
      <c r="H54" s="24">
        <f>G54*2</f>
        <v>7000</v>
      </c>
      <c r="I54" s="25">
        <v>15</v>
      </c>
      <c r="J54" s="25"/>
      <c r="K54" s="47"/>
      <c r="L54" s="26"/>
      <c r="M54" s="26"/>
      <c r="N54" s="26"/>
      <c r="O54" s="78">
        <f>Q54-P54</f>
        <v>3500</v>
      </c>
      <c r="P54" s="27"/>
      <c r="Q54" s="16">
        <f t="shared" si="1"/>
        <v>3500</v>
      </c>
      <c r="R54" s="23"/>
      <c r="S54" s="28"/>
    </row>
    <row r="55" spans="1:19" s="10" customFormat="1" ht="15.75" customHeight="1" thickBot="1" x14ac:dyDescent="0.3">
      <c r="A55" s="22">
        <v>51</v>
      </c>
      <c r="B55" s="23" t="s">
        <v>103</v>
      </c>
      <c r="C55" s="23" t="s">
        <v>40</v>
      </c>
      <c r="D55" s="23" t="s">
        <v>48</v>
      </c>
      <c r="E55" s="23" t="s">
        <v>106</v>
      </c>
      <c r="F55" s="24">
        <f t="shared" si="5"/>
        <v>266.66666666666669</v>
      </c>
      <c r="G55" s="24">
        <v>4000</v>
      </c>
      <c r="H55" s="24">
        <f t="shared" si="3"/>
        <v>8000</v>
      </c>
      <c r="I55" s="25">
        <v>15</v>
      </c>
      <c r="J55" s="25"/>
      <c r="K55" s="26"/>
      <c r="L55" s="26"/>
      <c r="M55" s="47"/>
      <c r="N55" s="26"/>
      <c r="O55" s="79">
        <f t="shared" si="4"/>
        <v>4000.0000000000005</v>
      </c>
      <c r="P55" s="27"/>
      <c r="Q55" s="16">
        <f t="shared" si="1"/>
        <v>4000.0000000000005</v>
      </c>
      <c r="R55" s="30">
        <f>SUM(Q49:Q55)</f>
        <v>21100</v>
      </c>
      <c r="S55" s="28"/>
    </row>
    <row r="56" spans="1:19" s="10" customFormat="1" ht="15.75" customHeight="1" x14ac:dyDescent="0.25">
      <c r="A56" s="3">
        <v>52</v>
      </c>
      <c r="B56" s="4" t="s">
        <v>107</v>
      </c>
      <c r="C56" s="4" t="s">
        <v>20</v>
      </c>
      <c r="D56" s="4" t="s">
        <v>108</v>
      </c>
      <c r="E56" s="4" t="s">
        <v>109</v>
      </c>
      <c r="F56" s="5">
        <f t="shared" si="5"/>
        <v>400</v>
      </c>
      <c r="G56" s="5">
        <v>6000</v>
      </c>
      <c r="H56" s="5">
        <f t="shared" si="3"/>
        <v>12000</v>
      </c>
      <c r="I56" s="6">
        <v>15</v>
      </c>
      <c r="J56" s="6"/>
      <c r="K56" s="7"/>
      <c r="L56" s="7"/>
      <c r="M56" s="7"/>
      <c r="N56" s="7"/>
      <c r="O56" s="80">
        <f t="shared" si="4"/>
        <v>6000</v>
      </c>
      <c r="P56" s="8"/>
      <c r="Q56" s="8">
        <f t="shared" si="1"/>
        <v>6000</v>
      </c>
      <c r="R56" s="4"/>
      <c r="S56" s="9"/>
    </row>
    <row r="57" spans="1:19" s="10" customFormat="1" ht="15.75" customHeight="1" x14ac:dyDescent="0.25">
      <c r="A57" s="11">
        <v>53</v>
      </c>
      <c r="B57" s="12" t="s">
        <v>107</v>
      </c>
      <c r="C57" s="12" t="s">
        <v>65</v>
      </c>
      <c r="D57" s="12"/>
      <c r="E57" s="12" t="s">
        <v>118</v>
      </c>
      <c r="F57" s="13">
        <f t="shared" si="5"/>
        <v>166.66666666666666</v>
      </c>
      <c r="G57" s="13">
        <v>2500</v>
      </c>
      <c r="H57" s="13">
        <f t="shared" si="3"/>
        <v>5000</v>
      </c>
      <c r="I57" s="14">
        <v>8</v>
      </c>
      <c r="J57" s="14"/>
      <c r="K57" s="15"/>
      <c r="L57" s="15"/>
      <c r="M57" s="15"/>
      <c r="N57" s="15"/>
      <c r="O57" s="78">
        <f t="shared" si="4"/>
        <v>1333.3333333333333</v>
      </c>
      <c r="P57" s="16"/>
      <c r="Q57" s="16">
        <f t="shared" si="1"/>
        <v>1333.3333333333333</v>
      </c>
      <c r="R57" s="12"/>
      <c r="S57" s="17"/>
    </row>
    <row r="58" spans="1:19" s="10" customFormat="1" ht="15.75" customHeight="1" x14ac:dyDescent="0.25">
      <c r="A58" s="11">
        <v>54</v>
      </c>
      <c r="B58" s="12" t="s">
        <v>107</v>
      </c>
      <c r="C58" s="12" t="s">
        <v>65</v>
      </c>
      <c r="D58" s="12"/>
      <c r="E58" s="12" t="s">
        <v>119</v>
      </c>
      <c r="F58" s="13">
        <f t="shared" si="5"/>
        <v>166.66666666666666</v>
      </c>
      <c r="G58" s="13">
        <v>2500</v>
      </c>
      <c r="H58" s="13">
        <f t="shared" si="3"/>
        <v>5000</v>
      </c>
      <c r="I58" s="14">
        <v>6</v>
      </c>
      <c r="J58" s="14"/>
      <c r="K58" s="15"/>
      <c r="L58" s="15"/>
      <c r="M58" s="15"/>
      <c r="N58" s="15"/>
      <c r="O58" s="78">
        <f t="shared" si="4"/>
        <v>1000</v>
      </c>
      <c r="P58" s="16"/>
      <c r="Q58" s="16">
        <f t="shared" si="1"/>
        <v>1000</v>
      </c>
      <c r="R58" s="12"/>
      <c r="S58" s="17"/>
    </row>
    <row r="59" spans="1:19" s="10" customFormat="1" ht="15.75" customHeight="1" thickBot="1" x14ac:dyDescent="0.3">
      <c r="A59" s="36">
        <v>56</v>
      </c>
      <c r="B59" s="37" t="s">
        <v>107</v>
      </c>
      <c r="C59" s="37" t="s">
        <v>79</v>
      </c>
      <c r="D59" s="37" t="s">
        <v>85</v>
      </c>
      <c r="E59" s="57" t="s">
        <v>111</v>
      </c>
      <c r="F59" s="38">
        <f t="shared" si="5"/>
        <v>200</v>
      </c>
      <c r="G59" s="38">
        <v>3000</v>
      </c>
      <c r="H59" s="38">
        <f t="shared" si="3"/>
        <v>6000</v>
      </c>
      <c r="I59" s="39">
        <v>14</v>
      </c>
      <c r="J59" s="39"/>
      <c r="K59" s="40"/>
      <c r="L59" s="40"/>
      <c r="M59" s="40">
        <v>200</v>
      </c>
      <c r="N59" s="40"/>
      <c r="O59" s="81">
        <f t="shared" si="4"/>
        <v>2600</v>
      </c>
      <c r="P59" s="41"/>
      <c r="Q59" s="41">
        <f>(I59*F59)-(K59+L59+M59+N59)</f>
        <v>2600</v>
      </c>
      <c r="R59" s="77">
        <f>SUM(Q56:Q59)</f>
        <v>10933.333333333332</v>
      </c>
      <c r="S59" s="42"/>
    </row>
    <row r="60" spans="1:19" s="10" customFormat="1" ht="15.75" customHeight="1" thickBot="1" x14ac:dyDescent="0.3">
      <c r="A60" s="385" t="s">
        <v>113</v>
      </c>
      <c r="B60" s="386"/>
      <c r="C60" s="386"/>
      <c r="D60" s="386"/>
      <c r="E60" s="386"/>
      <c r="F60" s="386"/>
      <c r="G60" s="386"/>
      <c r="H60" s="386"/>
      <c r="I60" s="386"/>
      <c r="J60" s="386"/>
      <c r="K60" s="48">
        <f t="shared" ref="K60:R60" si="6">SUM(K5:K59)</f>
        <v>7011</v>
      </c>
      <c r="L60" s="48">
        <f t="shared" si="6"/>
        <v>483</v>
      </c>
      <c r="M60" s="48">
        <f t="shared" si="6"/>
        <v>800</v>
      </c>
      <c r="N60" s="48">
        <f t="shared" si="6"/>
        <v>0</v>
      </c>
      <c r="O60" s="82">
        <f t="shared" si="6"/>
        <v>196298.37333333332</v>
      </c>
      <c r="P60" s="48">
        <f t="shared" si="6"/>
        <v>15990.959999999997</v>
      </c>
      <c r="Q60" s="48">
        <f t="shared" si="6"/>
        <v>212289.33333333331</v>
      </c>
      <c r="R60" s="48">
        <f t="shared" si="6"/>
        <v>212289.33333333334</v>
      </c>
      <c r="S60" s="49"/>
    </row>
    <row r="61" spans="1:19" ht="17.25" customHeight="1" x14ac:dyDescent="0.25">
      <c r="A61" s="50"/>
    </row>
    <row r="62" spans="1:19" x14ac:dyDescent="0.25">
      <c r="A62" s="50"/>
    </row>
    <row r="63" spans="1:19" x14ac:dyDescent="0.25">
      <c r="A63" s="50"/>
    </row>
  </sheetData>
  <autoFilter ref="A4:Q60"/>
  <mergeCells count="4">
    <mergeCell ref="B1:P1"/>
    <mergeCell ref="B2:P2"/>
    <mergeCell ref="B3:P3"/>
    <mergeCell ref="A60:J60"/>
  </mergeCells>
  <pageMargins left="0" right="0" top="0.74803149606299213" bottom="0.78740157480314965" header="0.31496062992125984" footer="0.31496062992125984"/>
  <pageSetup scale="45" fitToHeight="2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5"/>
  <sheetViews>
    <sheetView showGridLines="0" zoomScaleNormal="100" workbookViewId="0">
      <selection activeCell="H41" sqref="H41"/>
    </sheetView>
  </sheetViews>
  <sheetFormatPr baseColWidth="10" defaultRowHeight="15" x14ac:dyDescent="0.25"/>
  <cols>
    <col min="1" max="1" width="19.140625" bestFit="1" customWidth="1"/>
    <col min="2" max="2" width="15.7109375" bestFit="1" customWidth="1"/>
    <col min="3" max="3" width="10.85546875" bestFit="1" customWidth="1"/>
    <col min="4" max="4" width="10.5703125" bestFit="1" customWidth="1"/>
    <col min="5" max="5" width="12" bestFit="1" customWidth="1"/>
  </cols>
  <sheetData>
    <row r="2" spans="1:5" x14ac:dyDescent="0.25">
      <c r="A2" s="397" t="s">
        <v>264</v>
      </c>
      <c r="B2" s="397"/>
      <c r="C2" s="397"/>
      <c r="D2" s="397"/>
      <c r="E2" s="397"/>
    </row>
    <row r="3" spans="1:5" x14ac:dyDescent="0.25">
      <c r="A3" s="300" t="s">
        <v>210</v>
      </c>
      <c r="B3" s="326" t="s">
        <v>211</v>
      </c>
      <c r="C3" s="326" t="s">
        <v>212</v>
      </c>
      <c r="D3" s="326" t="s">
        <v>260</v>
      </c>
      <c r="E3" s="326" t="s">
        <v>213</v>
      </c>
    </row>
    <row r="4" spans="1:5" x14ac:dyDescent="0.25">
      <c r="A4" s="283" t="s">
        <v>107</v>
      </c>
      <c r="B4" s="284"/>
      <c r="C4" s="284"/>
      <c r="D4" s="284"/>
      <c r="E4" s="284"/>
    </row>
    <row r="5" spans="1:5" x14ac:dyDescent="0.25">
      <c r="A5" s="283" t="s">
        <v>82</v>
      </c>
      <c r="B5" s="284"/>
      <c r="C5" s="284"/>
      <c r="D5" s="284"/>
      <c r="E5" s="284"/>
    </row>
    <row r="6" spans="1:5" x14ac:dyDescent="0.25">
      <c r="A6" s="283" t="s">
        <v>19</v>
      </c>
      <c r="B6" s="284">
        <v>500</v>
      </c>
      <c r="C6" s="284"/>
      <c r="D6" s="284"/>
      <c r="E6" s="284"/>
    </row>
    <row r="7" spans="1:5" x14ac:dyDescent="0.25">
      <c r="A7" s="283" t="s">
        <v>100</v>
      </c>
      <c r="B7" s="284">
        <v>400</v>
      </c>
      <c r="C7" s="284">
        <v>100</v>
      </c>
      <c r="D7" s="284">
        <v>100</v>
      </c>
      <c r="E7" s="284"/>
    </row>
    <row r="8" spans="1:5" x14ac:dyDescent="0.25">
      <c r="A8" s="283" t="s">
        <v>64</v>
      </c>
      <c r="B8" s="284"/>
      <c r="C8" s="284"/>
      <c r="D8" s="284"/>
      <c r="E8" s="284"/>
    </row>
    <row r="9" spans="1:5" x14ac:dyDescent="0.25">
      <c r="A9" s="283" t="s">
        <v>97</v>
      </c>
      <c r="B9" s="284"/>
      <c r="C9" s="284">
        <v>466.67</v>
      </c>
      <c r="D9" s="284">
        <v>100</v>
      </c>
      <c r="E9" s="284"/>
    </row>
    <row r="10" spans="1:5" x14ac:dyDescent="0.25">
      <c r="A10" s="283" t="s">
        <v>188</v>
      </c>
      <c r="B10" s="284"/>
      <c r="C10" s="284"/>
      <c r="D10" s="284"/>
      <c r="E10" s="284"/>
    </row>
    <row r="11" spans="1:5" x14ac:dyDescent="0.25">
      <c r="A11" s="283" t="s">
        <v>72</v>
      </c>
      <c r="B11" s="284">
        <v>1000</v>
      </c>
      <c r="C11" s="284"/>
      <c r="D11" s="284">
        <v>100</v>
      </c>
      <c r="E11" s="284"/>
    </row>
    <row r="12" spans="1:5" x14ac:dyDescent="0.25">
      <c r="A12" s="283" t="s">
        <v>59</v>
      </c>
      <c r="B12" s="284">
        <v>565</v>
      </c>
      <c r="C12" s="284">
        <v>100</v>
      </c>
      <c r="D12" s="284">
        <v>103</v>
      </c>
      <c r="E12" s="284"/>
    </row>
    <row r="13" spans="1:5" x14ac:dyDescent="0.25">
      <c r="A13" s="283" t="s">
        <v>54</v>
      </c>
      <c r="B13" s="284"/>
      <c r="C13" s="284"/>
      <c r="D13" s="284">
        <v>300</v>
      </c>
      <c r="E13" s="284"/>
    </row>
    <row r="14" spans="1:5" x14ac:dyDescent="0.25">
      <c r="A14" s="283" t="s">
        <v>88</v>
      </c>
      <c r="B14" s="284">
        <v>800</v>
      </c>
      <c r="C14" s="284"/>
      <c r="D14" s="284"/>
      <c r="E14" s="284"/>
    </row>
    <row r="15" spans="1:5" x14ac:dyDescent="0.25">
      <c r="A15" s="283" t="s">
        <v>149</v>
      </c>
      <c r="B15" s="284"/>
      <c r="C15" s="284"/>
      <c r="D15" s="284">
        <v>100</v>
      </c>
      <c r="E15" s="284"/>
    </row>
    <row r="16" spans="1:5" x14ac:dyDescent="0.25">
      <c r="A16" s="283" t="s">
        <v>45</v>
      </c>
      <c r="B16" s="284"/>
      <c r="C16" s="284">
        <v>200</v>
      </c>
      <c r="D16" s="284"/>
      <c r="E16" s="284"/>
    </row>
    <row r="17" spans="1:6" x14ac:dyDescent="0.25">
      <c r="A17" s="283" t="s">
        <v>160</v>
      </c>
      <c r="B17" s="284"/>
      <c r="C17" s="284"/>
      <c r="D17" s="284"/>
      <c r="E17" s="284"/>
    </row>
    <row r="18" spans="1:6" x14ac:dyDescent="0.25">
      <c r="A18" s="283" t="s">
        <v>190</v>
      </c>
      <c r="B18" s="284">
        <v>3265</v>
      </c>
      <c r="C18" s="284">
        <v>866.67000000000007</v>
      </c>
      <c r="D18" s="284">
        <v>803</v>
      </c>
      <c r="E18" s="284"/>
    </row>
    <row r="20" spans="1:6" ht="15.75" x14ac:dyDescent="0.25">
      <c r="A20" s="309" t="s">
        <v>113</v>
      </c>
      <c r="B20" s="310">
        <f>GETPIVOTDATA("DEUDA INTERNA",$A$3)+GETPIVOTDATA("RETARDOS ",$A$3)+GETPIVOTDATA("AC-CORR",$A$3)+GETPIVOTDATA("UNIFORMES",$A$3)</f>
        <v>4934.67</v>
      </c>
    </row>
    <row r="22" spans="1:6" x14ac:dyDescent="0.25">
      <c r="A22" s="328" t="s">
        <v>257</v>
      </c>
      <c r="B22" s="328" t="s">
        <v>211</v>
      </c>
      <c r="C22" s="328" t="s">
        <v>212</v>
      </c>
      <c r="D22" s="328" t="s">
        <v>260</v>
      </c>
      <c r="E22" s="328" t="s">
        <v>213</v>
      </c>
      <c r="F22" s="335" t="s">
        <v>113</v>
      </c>
    </row>
    <row r="23" spans="1:6" x14ac:dyDescent="0.25">
      <c r="A23" t="s">
        <v>261</v>
      </c>
      <c r="B23" s="51">
        <f>GETPIVOTDATA("DEUDA INTERNA",'2A. FEB-DEDUCCIONES'!$A$3)</f>
        <v>5800.88</v>
      </c>
      <c r="C23" s="51">
        <f>GETPIVOTDATA("RETARDOS ",'2A. FEB-DEDUCCIONES'!$A$3)</f>
        <v>1366.66</v>
      </c>
      <c r="D23" s="51">
        <f>GETPIVOTDATA("AC.CORR.",'2A. FEB-DEDUCCIONES'!$A$3)</f>
        <v>1150</v>
      </c>
      <c r="E23" s="51">
        <f>GETPIVOTDATA("UNIFORMES",'2A. FEB-DEDUCCIONES'!$A$3)</f>
        <v>1750</v>
      </c>
      <c r="F23" s="332">
        <f>SUM(B23:E23)</f>
        <v>10067.540000000001</v>
      </c>
    </row>
    <row r="24" spans="1:6" x14ac:dyDescent="0.25">
      <c r="A24" t="s">
        <v>262</v>
      </c>
      <c r="B24" s="51">
        <f>GETPIVOTDATA("DEUDA INTERNA",$A$3)</f>
        <v>3265</v>
      </c>
      <c r="C24" s="51">
        <f>GETPIVOTDATA("RETARDOS ",$A$3)</f>
        <v>866.67000000000007</v>
      </c>
      <c r="D24" s="51">
        <f>GETPIVOTDATA("AC-CORR",$A$3)</f>
        <v>803</v>
      </c>
      <c r="E24" s="51">
        <f>GETPIVOTDATA("UNIFORMES",$A$3)</f>
        <v>0</v>
      </c>
      <c r="F24" s="332">
        <f>SUM(B24:E24)</f>
        <v>4934.67</v>
      </c>
    </row>
    <row r="25" spans="1:6" x14ac:dyDescent="0.25">
      <c r="A25" t="s">
        <v>263</v>
      </c>
      <c r="B25" s="332">
        <f>B24-B23</f>
        <v>-2535.88</v>
      </c>
      <c r="C25" s="332">
        <f t="shared" ref="C25:E25" si="0">C24-C23</f>
        <v>-499.99</v>
      </c>
      <c r="D25" s="332">
        <f t="shared" si="0"/>
        <v>-347</v>
      </c>
      <c r="E25" s="332">
        <f t="shared" si="0"/>
        <v>-1750</v>
      </c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scale="76" orientation="landscape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2"/>
  <sheetViews>
    <sheetView topLeftCell="M1" zoomScale="90" zoomScaleNormal="90" workbookViewId="0">
      <pane ySplit="4" topLeftCell="A45" activePane="bottomLeft" state="frozen"/>
      <selection pane="bottomLeft" activeCell="M61" sqref="M61"/>
    </sheetView>
  </sheetViews>
  <sheetFormatPr baseColWidth="10" defaultColWidth="9.140625" defaultRowHeight="15" x14ac:dyDescent="0.25"/>
  <cols>
    <col min="1" max="1" width="3" style="83" bestFit="1" customWidth="1"/>
    <col min="2" max="2" width="18.7109375" style="83" customWidth="1"/>
    <col min="3" max="3" width="17.5703125" style="83" bestFit="1" customWidth="1"/>
    <col min="4" max="4" width="25" style="83" hidden="1" customWidth="1"/>
    <col min="5" max="5" width="39.7109375" style="83" bestFit="1" customWidth="1"/>
    <col min="6" max="6" width="11" style="51" customWidth="1"/>
    <col min="7" max="8" width="14" style="52" customWidth="1"/>
    <col min="9" max="9" width="11" style="53" customWidth="1"/>
    <col min="10" max="10" width="8.140625" style="53" customWidth="1"/>
    <col min="11" max="11" width="22.140625" style="54" bestFit="1" customWidth="1"/>
    <col min="12" max="12" width="17.28515625" style="54" bestFit="1" customWidth="1"/>
    <col min="13" max="13" width="18.7109375" style="54" bestFit="1" customWidth="1"/>
    <col min="14" max="14" width="17.85546875" style="54" bestFit="1" customWidth="1"/>
    <col min="15" max="15" width="20.7109375" style="105" bestFit="1" customWidth="1"/>
    <col min="16" max="16" width="19" style="83" customWidth="1"/>
    <col min="17" max="18" width="20.7109375" style="83" customWidth="1"/>
    <col min="19" max="19" width="6.85546875" style="83" customWidth="1"/>
    <col min="20" max="20" width="9.140625" style="83" customWidth="1"/>
    <col min="21" max="16384" width="9.140625" style="83"/>
  </cols>
  <sheetData>
    <row r="1" spans="1:19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</row>
    <row r="2" spans="1:19" x14ac:dyDescent="0.25">
      <c r="B2" s="383" t="s">
        <v>128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</row>
    <row r="3" spans="1:19" ht="15.75" thickBot="1" x14ac:dyDescent="0.3">
      <c r="B3" s="383" t="s">
        <v>0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</row>
    <row r="4" spans="1:19" s="2" customFormat="1" ht="38.25" customHeight="1" thickBot="1" x14ac:dyDescent="0.3">
      <c r="A4" s="1" t="s">
        <v>1</v>
      </c>
      <c r="B4" s="88" t="s">
        <v>2</v>
      </c>
      <c r="C4" s="89" t="s">
        <v>3</v>
      </c>
      <c r="D4" s="89" t="s">
        <v>4</v>
      </c>
      <c r="E4" s="89" t="s">
        <v>5</v>
      </c>
      <c r="F4" s="90" t="s">
        <v>6</v>
      </c>
      <c r="G4" s="91" t="s">
        <v>7</v>
      </c>
      <c r="H4" s="91"/>
      <c r="I4" s="92" t="s">
        <v>8</v>
      </c>
      <c r="J4" s="89" t="s">
        <v>9</v>
      </c>
      <c r="K4" s="90" t="s">
        <v>10</v>
      </c>
      <c r="L4" s="90" t="s">
        <v>11</v>
      </c>
      <c r="M4" s="90" t="s">
        <v>12</v>
      </c>
      <c r="N4" s="90" t="s">
        <v>13</v>
      </c>
      <c r="O4" s="93" t="s">
        <v>14</v>
      </c>
      <c r="P4" s="94" t="s">
        <v>15</v>
      </c>
      <c r="Q4" s="89" t="s">
        <v>16</v>
      </c>
      <c r="R4" s="95" t="s">
        <v>17</v>
      </c>
      <c r="S4" s="96" t="s">
        <v>18</v>
      </c>
    </row>
    <row r="5" spans="1:19" s="10" customFormat="1" ht="15.75" customHeight="1" x14ac:dyDescent="0.25">
      <c r="A5" s="3">
        <v>1</v>
      </c>
      <c r="B5" s="4" t="s">
        <v>19</v>
      </c>
      <c r="C5" s="4" t="s">
        <v>20</v>
      </c>
      <c r="D5" s="4" t="s">
        <v>21</v>
      </c>
      <c r="E5" s="4" t="s">
        <v>22</v>
      </c>
      <c r="F5" s="5">
        <f>G5/15</f>
        <v>1000</v>
      </c>
      <c r="G5" s="5">
        <v>15000</v>
      </c>
      <c r="H5" s="5">
        <f>G5*2</f>
        <v>30000</v>
      </c>
      <c r="I5" s="6">
        <v>15</v>
      </c>
      <c r="J5" s="6"/>
      <c r="K5" s="7"/>
      <c r="L5" s="7"/>
      <c r="M5" s="7"/>
      <c r="N5" s="7"/>
      <c r="O5" s="80"/>
      <c r="P5" s="8">
        <v>1896.42</v>
      </c>
      <c r="Q5" s="8">
        <f t="shared" ref="Q5:Q57" si="0">(I5*F5)-(K5+L5+M5+N5)</f>
        <v>15000</v>
      </c>
      <c r="R5" s="4"/>
      <c r="S5" s="9"/>
    </row>
    <row r="6" spans="1:19" s="10" customFormat="1" ht="15.75" customHeight="1" x14ac:dyDescent="0.25">
      <c r="A6" s="11">
        <v>2</v>
      </c>
      <c r="B6" s="12" t="s">
        <v>19</v>
      </c>
      <c r="C6" s="12" t="s">
        <v>20</v>
      </c>
      <c r="D6" s="12" t="s">
        <v>23</v>
      </c>
      <c r="E6" s="12" t="s">
        <v>24</v>
      </c>
      <c r="F6" s="13">
        <f t="shared" ref="F6:F13" si="1">G6/15</f>
        <v>1000</v>
      </c>
      <c r="G6" s="13">
        <v>15000</v>
      </c>
      <c r="H6" s="13">
        <f>G6*2</f>
        <v>30000</v>
      </c>
      <c r="I6" s="14">
        <v>15</v>
      </c>
      <c r="J6" s="14"/>
      <c r="K6" s="15"/>
      <c r="L6" s="15"/>
      <c r="M6" s="15"/>
      <c r="N6" s="15"/>
      <c r="O6" s="78"/>
      <c r="P6" s="16"/>
      <c r="Q6" s="16">
        <f t="shared" si="0"/>
        <v>15000</v>
      </c>
      <c r="R6" s="12"/>
      <c r="S6" s="17"/>
    </row>
    <row r="7" spans="1:19" s="10" customFormat="1" ht="15.75" customHeight="1" x14ac:dyDescent="0.25">
      <c r="A7" s="11">
        <v>4</v>
      </c>
      <c r="B7" s="12" t="s">
        <v>19</v>
      </c>
      <c r="C7" s="12" t="s">
        <v>20</v>
      </c>
      <c r="D7" s="12" t="s">
        <v>27</v>
      </c>
      <c r="E7" s="12" t="s">
        <v>28</v>
      </c>
      <c r="F7" s="13">
        <f t="shared" si="1"/>
        <v>300</v>
      </c>
      <c r="G7" s="13">
        <v>4500</v>
      </c>
      <c r="H7" s="13">
        <f t="shared" ref="H7:H58" si="2">G7*2</f>
        <v>9000</v>
      </c>
      <c r="I7" s="14">
        <v>14</v>
      </c>
      <c r="J7" s="14"/>
      <c r="K7" s="18">
        <v>750</v>
      </c>
      <c r="L7" s="15"/>
      <c r="M7" s="15"/>
      <c r="N7" s="15"/>
      <c r="O7" s="78">
        <f>Q7-P7</f>
        <v>3450</v>
      </c>
      <c r="P7" s="16"/>
      <c r="Q7" s="16">
        <f t="shared" si="0"/>
        <v>3450</v>
      </c>
      <c r="R7" s="12"/>
      <c r="S7" s="17"/>
    </row>
    <row r="8" spans="1:19" s="10" customFormat="1" ht="15.75" customHeight="1" x14ac:dyDescent="0.25">
      <c r="A8" s="11">
        <v>5</v>
      </c>
      <c r="B8" s="12" t="s">
        <v>19</v>
      </c>
      <c r="C8" s="12" t="s">
        <v>20</v>
      </c>
      <c r="D8" s="12" t="s">
        <v>27</v>
      </c>
      <c r="E8" s="12" t="s">
        <v>29</v>
      </c>
      <c r="F8" s="13">
        <f t="shared" si="1"/>
        <v>200</v>
      </c>
      <c r="G8" s="13">
        <v>3000</v>
      </c>
      <c r="H8" s="13">
        <f t="shared" si="2"/>
        <v>6000</v>
      </c>
      <c r="I8" s="14">
        <v>15</v>
      </c>
      <c r="J8" s="14"/>
      <c r="K8" s="15"/>
      <c r="L8" s="15"/>
      <c r="M8" s="15"/>
      <c r="N8" s="15"/>
      <c r="O8" s="78">
        <f>Q8-P8</f>
        <v>3000</v>
      </c>
      <c r="P8" s="16"/>
      <c r="Q8" s="16">
        <f t="shared" si="0"/>
        <v>3000</v>
      </c>
      <c r="R8" s="12"/>
      <c r="S8" s="17"/>
    </row>
    <row r="9" spans="1:19" s="10" customFormat="1" ht="15.75" customHeight="1" x14ac:dyDescent="0.25">
      <c r="A9" s="11">
        <v>6</v>
      </c>
      <c r="B9" s="12" t="s">
        <v>19</v>
      </c>
      <c r="C9" s="12" t="s">
        <v>20</v>
      </c>
      <c r="D9" s="12" t="s">
        <v>30</v>
      </c>
      <c r="E9" s="12" t="s">
        <v>31</v>
      </c>
      <c r="F9" s="13">
        <f t="shared" si="1"/>
        <v>400</v>
      </c>
      <c r="G9" s="13">
        <v>6000</v>
      </c>
      <c r="H9" s="13">
        <f t="shared" si="2"/>
        <v>12000</v>
      </c>
      <c r="I9" s="14">
        <v>15</v>
      </c>
      <c r="J9" s="14"/>
      <c r="K9" s="18">
        <v>1000</v>
      </c>
      <c r="L9" s="15"/>
      <c r="M9" s="15"/>
      <c r="N9" s="15"/>
      <c r="O9" s="78">
        <f t="shared" ref="O9:O58" si="3">Q9-P9</f>
        <v>5000</v>
      </c>
      <c r="P9" s="16"/>
      <c r="Q9" s="16">
        <f t="shared" si="0"/>
        <v>5000</v>
      </c>
      <c r="R9" s="12"/>
      <c r="S9" s="17"/>
    </row>
    <row r="10" spans="1:19" s="10" customFormat="1" ht="15.75" customHeight="1" x14ac:dyDescent="0.25">
      <c r="A10" s="11">
        <v>7</v>
      </c>
      <c r="B10" s="12" t="s">
        <v>19</v>
      </c>
      <c r="C10" s="12" t="s">
        <v>32</v>
      </c>
      <c r="D10" s="21" t="s">
        <v>33</v>
      </c>
      <c r="E10" s="12" t="s">
        <v>34</v>
      </c>
      <c r="F10" s="13">
        <f t="shared" si="1"/>
        <v>333.33333333333331</v>
      </c>
      <c r="G10" s="13">
        <v>5000</v>
      </c>
      <c r="H10" s="13">
        <f t="shared" si="2"/>
        <v>10000</v>
      </c>
      <c r="I10" s="14">
        <v>15</v>
      </c>
      <c r="J10" s="14"/>
      <c r="K10" s="15"/>
      <c r="L10" s="15"/>
      <c r="M10" s="15"/>
      <c r="N10" s="15"/>
      <c r="O10" s="78">
        <f t="shared" si="3"/>
        <v>3433.94</v>
      </c>
      <c r="P10" s="16">
        <v>1566.06</v>
      </c>
      <c r="Q10" s="16">
        <f t="shared" si="0"/>
        <v>5000</v>
      </c>
      <c r="R10" s="12"/>
      <c r="S10" s="17"/>
    </row>
    <row r="11" spans="1:19" s="10" customFormat="1" ht="15.75" customHeight="1" x14ac:dyDescent="0.25">
      <c r="A11" s="11">
        <v>8</v>
      </c>
      <c r="B11" s="12" t="s">
        <v>19</v>
      </c>
      <c r="C11" s="12" t="s">
        <v>32</v>
      </c>
      <c r="D11" s="12" t="s">
        <v>35</v>
      </c>
      <c r="E11" s="12" t="s">
        <v>36</v>
      </c>
      <c r="F11" s="13">
        <f t="shared" si="1"/>
        <v>833.33333333333337</v>
      </c>
      <c r="G11" s="13">
        <v>12500</v>
      </c>
      <c r="H11" s="13">
        <f t="shared" si="2"/>
        <v>25000</v>
      </c>
      <c r="I11" s="14">
        <v>15</v>
      </c>
      <c r="J11" s="14"/>
      <c r="K11" s="15"/>
      <c r="L11" s="15"/>
      <c r="M11" s="15"/>
      <c r="N11" s="15"/>
      <c r="O11" s="78">
        <f t="shared" si="3"/>
        <v>10933.94</v>
      </c>
      <c r="P11" s="16">
        <v>1566.06</v>
      </c>
      <c r="Q11" s="16">
        <f t="shared" si="0"/>
        <v>12500</v>
      </c>
      <c r="R11" s="12"/>
      <c r="S11" s="17"/>
    </row>
    <row r="12" spans="1:19" s="10" customFormat="1" ht="15.75" customHeight="1" x14ac:dyDescent="0.25">
      <c r="A12" s="11">
        <v>9</v>
      </c>
      <c r="B12" s="12" t="s">
        <v>19</v>
      </c>
      <c r="C12" s="12" t="s">
        <v>20</v>
      </c>
      <c r="D12" s="12"/>
      <c r="E12" s="12" t="s">
        <v>123</v>
      </c>
      <c r="F12" s="13">
        <f t="shared" si="1"/>
        <v>500</v>
      </c>
      <c r="G12" s="13">
        <v>7500</v>
      </c>
      <c r="H12" s="13">
        <f t="shared" si="2"/>
        <v>15000</v>
      </c>
      <c r="I12" s="14">
        <v>18</v>
      </c>
      <c r="J12" s="14"/>
      <c r="K12" s="15"/>
      <c r="L12" s="15"/>
      <c r="M12" s="15"/>
      <c r="N12" s="15"/>
      <c r="O12" s="78">
        <f t="shared" si="3"/>
        <v>9000</v>
      </c>
      <c r="P12" s="16"/>
      <c r="Q12" s="16">
        <f t="shared" si="0"/>
        <v>9000</v>
      </c>
      <c r="R12" s="12"/>
      <c r="S12" s="17"/>
    </row>
    <row r="13" spans="1:19" s="10" customFormat="1" ht="15.75" customHeight="1" thickBot="1" x14ac:dyDescent="0.3">
      <c r="A13" s="36">
        <v>10</v>
      </c>
      <c r="B13" s="37" t="s">
        <v>19</v>
      </c>
      <c r="C13" s="37" t="s">
        <v>32</v>
      </c>
      <c r="D13" s="37" t="s">
        <v>37</v>
      </c>
      <c r="E13" s="37" t="s">
        <v>38</v>
      </c>
      <c r="F13" s="38">
        <f t="shared" si="1"/>
        <v>266.66666666666669</v>
      </c>
      <c r="G13" s="38">
        <v>4000</v>
      </c>
      <c r="H13" s="38">
        <f t="shared" si="2"/>
        <v>8000</v>
      </c>
      <c r="I13" s="39">
        <v>15</v>
      </c>
      <c r="J13" s="39"/>
      <c r="K13" s="40"/>
      <c r="L13" s="40"/>
      <c r="M13" s="40"/>
      <c r="N13" s="40"/>
      <c r="O13" s="81">
        <f t="shared" si="3"/>
        <v>2433.9400000000005</v>
      </c>
      <c r="P13" s="41">
        <v>1566.06</v>
      </c>
      <c r="Q13" s="41">
        <f t="shared" si="0"/>
        <v>4000.0000000000005</v>
      </c>
      <c r="R13" s="77">
        <f>SUM(Q5:Q13)</f>
        <v>71950</v>
      </c>
      <c r="S13" s="42"/>
    </row>
    <row r="14" spans="1:19" s="10" customFormat="1" ht="15.75" customHeight="1" x14ac:dyDescent="0.25">
      <c r="A14" s="84">
        <v>11</v>
      </c>
      <c r="B14" s="61" t="s">
        <v>39</v>
      </c>
      <c r="C14" s="61" t="s">
        <v>20</v>
      </c>
      <c r="D14" s="61" t="s">
        <v>51</v>
      </c>
      <c r="E14" s="61" t="s">
        <v>52</v>
      </c>
      <c r="F14" s="62">
        <f>G14/15</f>
        <v>266.66666666666669</v>
      </c>
      <c r="G14" s="62">
        <v>4000</v>
      </c>
      <c r="H14" s="62">
        <f>G14*2</f>
        <v>8000</v>
      </c>
      <c r="I14" s="63">
        <v>15</v>
      </c>
      <c r="J14" s="63"/>
      <c r="K14" s="64"/>
      <c r="L14" s="64">
        <v>100</v>
      </c>
      <c r="M14" s="64">
        <v>200</v>
      </c>
      <c r="N14" s="64"/>
      <c r="O14" s="85">
        <f>Q14-P14</f>
        <v>3700.0000000000005</v>
      </c>
      <c r="P14" s="66"/>
      <c r="Q14" s="66">
        <f>(I14*F14)-(K14+L14+M14+N14)</f>
        <v>3700.0000000000005</v>
      </c>
      <c r="R14" s="61"/>
      <c r="S14" s="67"/>
    </row>
    <row r="15" spans="1:19" s="10" customFormat="1" ht="15.75" customHeight="1" thickBot="1" x14ac:dyDescent="0.3">
      <c r="A15" s="22">
        <v>12</v>
      </c>
      <c r="B15" s="23" t="s">
        <v>39</v>
      </c>
      <c r="C15" s="23" t="s">
        <v>40</v>
      </c>
      <c r="D15" s="23" t="s">
        <v>41</v>
      </c>
      <c r="E15" s="23" t="s">
        <v>42</v>
      </c>
      <c r="F15" s="24">
        <f>G15/15</f>
        <v>240</v>
      </c>
      <c r="G15" s="24">
        <v>3600</v>
      </c>
      <c r="H15" s="24">
        <f>G15*2</f>
        <v>7200</v>
      </c>
      <c r="I15" s="25">
        <v>15</v>
      </c>
      <c r="J15" s="25"/>
      <c r="K15" s="26"/>
      <c r="L15" s="26">
        <v>50</v>
      </c>
      <c r="M15" s="26"/>
      <c r="N15" s="26"/>
      <c r="O15" s="79">
        <f>Q15-P15</f>
        <v>1983.94</v>
      </c>
      <c r="P15" s="27">
        <v>1566.06</v>
      </c>
      <c r="Q15" s="27">
        <f>(I15*F15)-(K15+L15+M15+N15)</f>
        <v>3550</v>
      </c>
      <c r="R15" s="46">
        <f>SUM(Q14:Q15)</f>
        <v>7250</v>
      </c>
      <c r="S15" s="28"/>
    </row>
    <row r="16" spans="1:19" s="10" customFormat="1" ht="15.75" customHeight="1" x14ac:dyDescent="0.25">
      <c r="A16" s="3">
        <v>13</v>
      </c>
      <c r="B16" s="4" t="s">
        <v>45</v>
      </c>
      <c r="C16" s="4" t="s">
        <v>50</v>
      </c>
      <c r="D16" s="4" t="s">
        <v>89</v>
      </c>
      <c r="E16" s="4" t="s">
        <v>116</v>
      </c>
      <c r="F16" s="5">
        <f>G16/15</f>
        <v>266.66666666666669</v>
      </c>
      <c r="G16" s="58">
        <v>4000</v>
      </c>
      <c r="H16" s="5">
        <f>G16*2</f>
        <v>8000</v>
      </c>
      <c r="I16" s="6">
        <v>15</v>
      </c>
      <c r="J16" s="6"/>
      <c r="K16" s="7"/>
      <c r="L16" s="7"/>
      <c r="M16" s="7">
        <v>100</v>
      </c>
      <c r="N16" s="7"/>
      <c r="O16" s="80">
        <f>Q16-P16</f>
        <v>3900.0000000000005</v>
      </c>
      <c r="P16" s="8"/>
      <c r="Q16" s="8">
        <f>(I16*F16)-(K16+L16+M16+N16)</f>
        <v>3900.0000000000005</v>
      </c>
      <c r="R16" s="4"/>
      <c r="S16" s="9"/>
    </row>
    <row r="17" spans="1:19" s="10" customFormat="1" ht="15.75" customHeight="1" x14ac:dyDescent="0.25">
      <c r="A17" s="11">
        <v>14</v>
      </c>
      <c r="B17" s="12" t="s">
        <v>45</v>
      </c>
      <c r="C17" s="12" t="s">
        <v>40</v>
      </c>
      <c r="D17" s="12" t="s">
        <v>41</v>
      </c>
      <c r="E17" s="21" t="s">
        <v>93</v>
      </c>
      <c r="F17" s="13">
        <f>G17/15</f>
        <v>166.66666666666666</v>
      </c>
      <c r="G17" s="13">
        <v>2500</v>
      </c>
      <c r="H17" s="13">
        <f>G17*2</f>
        <v>5000</v>
      </c>
      <c r="I17" s="14">
        <v>15</v>
      </c>
      <c r="J17" s="14"/>
      <c r="K17" s="20"/>
      <c r="L17" s="15"/>
      <c r="M17" s="15"/>
      <c r="N17" s="15"/>
      <c r="O17" s="78">
        <f>Q17-P17</f>
        <v>2500</v>
      </c>
      <c r="P17" s="43"/>
      <c r="Q17" s="16">
        <f>(I17*F17)-(K17+L17+M17+N17)</f>
        <v>2500</v>
      </c>
      <c r="R17" s="44"/>
      <c r="S17" s="17"/>
    </row>
    <row r="18" spans="1:19" s="10" customFormat="1" ht="15.75" customHeight="1" thickBot="1" x14ac:dyDescent="0.3">
      <c r="A18" s="36">
        <v>15</v>
      </c>
      <c r="B18" s="37" t="s">
        <v>45</v>
      </c>
      <c r="C18" s="37" t="s">
        <v>40</v>
      </c>
      <c r="D18" s="37" t="s">
        <v>41</v>
      </c>
      <c r="E18" s="98" t="s">
        <v>53</v>
      </c>
      <c r="F18" s="38">
        <f t="shared" ref="F18:F58" si="4">G18/15</f>
        <v>266.66666666666669</v>
      </c>
      <c r="G18" s="38">
        <v>4000</v>
      </c>
      <c r="H18" s="38">
        <f t="shared" si="2"/>
        <v>8000</v>
      </c>
      <c r="I18" s="39">
        <v>15</v>
      </c>
      <c r="J18" s="39"/>
      <c r="K18" s="40"/>
      <c r="L18" s="40"/>
      <c r="M18" s="40"/>
      <c r="N18" s="40"/>
      <c r="O18" s="81">
        <f t="shared" si="3"/>
        <v>2433.9400000000005</v>
      </c>
      <c r="P18" s="41">
        <v>1566.06</v>
      </c>
      <c r="Q18" s="41">
        <f t="shared" si="0"/>
        <v>4000.0000000000005</v>
      </c>
      <c r="R18" s="77">
        <f>SUM(Q16:Q18)</f>
        <v>10400</v>
      </c>
      <c r="S18" s="42"/>
    </row>
    <row r="19" spans="1:19" s="10" customFormat="1" ht="15.75" customHeight="1" x14ac:dyDescent="0.25">
      <c r="A19" s="84">
        <v>16</v>
      </c>
      <c r="B19" s="61" t="s">
        <v>54</v>
      </c>
      <c r="C19" s="61" t="s">
        <v>20</v>
      </c>
      <c r="D19" s="61" t="s">
        <v>46</v>
      </c>
      <c r="E19" s="61" t="s">
        <v>55</v>
      </c>
      <c r="F19" s="62">
        <f t="shared" si="4"/>
        <v>266.66666666666669</v>
      </c>
      <c r="G19" s="62">
        <v>4000</v>
      </c>
      <c r="H19" s="62">
        <f t="shared" si="2"/>
        <v>8000</v>
      </c>
      <c r="I19" s="63">
        <v>15</v>
      </c>
      <c r="J19" s="63"/>
      <c r="K19" s="97">
        <v>560</v>
      </c>
      <c r="L19" s="64"/>
      <c r="M19" s="64">
        <v>50</v>
      </c>
      <c r="N19" s="64"/>
      <c r="O19" s="85">
        <f t="shared" si="3"/>
        <v>1823.9400000000005</v>
      </c>
      <c r="P19" s="66">
        <v>1566.06</v>
      </c>
      <c r="Q19" s="66">
        <f t="shared" si="0"/>
        <v>3390.0000000000005</v>
      </c>
      <c r="R19" s="61"/>
      <c r="S19" s="67"/>
    </row>
    <row r="20" spans="1:19" s="10" customFormat="1" ht="15.75" customHeight="1" x14ac:dyDescent="0.25">
      <c r="A20" s="11">
        <v>17</v>
      </c>
      <c r="B20" s="12" t="s">
        <v>56</v>
      </c>
      <c r="C20" s="12" t="s">
        <v>40</v>
      </c>
      <c r="D20" s="12" t="s">
        <v>41</v>
      </c>
      <c r="E20" s="12" t="s">
        <v>57</v>
      </c>
      <c r="F20" s="13">
        <f t="shared" si="4"/>
        <v>166.66666666666666</v>
      </c>
      <c r="G20" s="13">
        <v>2500</v>
      </c>
      <c r="H20" s="13">
        <f t="shared" si="2"/>
        <v>5000</v>
      </c>
      <c r="I20" s="14">
        <v>15</v>
      </c>
      <c r="J20" s="14"/>
      <c r="K20" s="15"/>
      <c r="L20" s="15"/>
      <c r="M20" s="15"/>
      <c r="N20" s="15"/>
      <c r="O20" s="78">
        <f t="shared" si="3"/>
        <v>2500</v>
      </c>
      <c r="P20" s="16"/>
      <c r="Q20" s="16">
        <f t="shared" si="0"/>
        <v>2500</v>
      </c>
      <c r="R20" s="12"/>
      <c r="S20" s="17"/>
    </row>
    <row r="21" spans="1:19" s="10" customFormat="1" ht="15.75" customHeight="1" thickBot="1" x14ac:dyDescent="0.3">
      <c r="A21" s="22">
        <v>18</v>
      </c>
      <c r="B21" s="23" t="s">
        <v>56</v>
      </c>
      <c r="C21" s="23" t="s">
        <v>40</v>
      </c>
      <c r="D21" s="23" t="s">
        <v>41</v>
      </c>
      <c r="E21" s="23" t="s">
        <v>58</v>
      </c>
      <c r="F21" s="24">
        <f t="shared" si="4"/>
        <v>200</v>
      </c>
      <c r="G21" s="24">
        <v>3000</v>
      </c>
      <c r="H21" s="24">
        <f t="shared" si="2"/>
        <v>6000</v>
      </c>
      <c r="I21" s="25">
        <v>15</v>
      </c>
      <c r="J21" s="25"/>
      <c r="K21" s="26"/>
      <c r="L21" s="26"/>
      <c r="M21" s="26"/>
      <c r="N21" s="26"/>
      <c r="O21" s="79">
        <f t="shared" si="3"/>
        <v>3000</v>
      </c>
      <c r="P21" s="27"/>
      <c r="Q21" s="27">
        <f t="shared" si="0"/>
        <v>3000</v>
      </c>
      <c r="R21" s="30">
        <f>SUM(Q19:Q21)</f>
        <v>8890</v>
      </c>
      <c r="S21" s="28"/>
    </row>
    <row r="22" spans="1:19" s="10" customFormat="1" ht="15.75" customHeight="1" x14ac:dyDescent="0.25">
      <c r="A22" s="3">
        <v>19</v>
      </c>
      <c r="B22" s="4" t="s">
        <v>59</v>
      </c>
      <c r="C22" s="4" t="s">
        <v>20</v>
      </c>
      <c r="D22" s="4" t="s">
        <v>60</v>
      </c>
      <c r="E22" s="4" t="s">
        <v>61</v>
      </c>
      <c r="F22" s="5">
        <f t="shared" si="4"/>
        <v>266.66666666666669</v>
      </c>
      <c r="G22" s="5">
        <v>4000</v>
      </c>
      <c r="H22" s="5">
        <f>G22*2</f>
        <v>8000</v>
      </c>
      <c r="I22" s="6">
        <v>14</v>
      </c>
      <c r="J22" s="6"/>
      <c r="K22" s="7"/>
      <c r="L22" s="7"/>
      <c r="M22" s="7">
        <f>170+50+200</f>
        <v>420</v>
      </c>
      <c r="N22" s="7"/>
      <c r="O22" s="80">
        <f>Q22-P22</f>
        <v>3313.3333333333335</v>
      </c>
      <c r="P22" s="8"/>
      <c r="Q22" s="8">
        <f t="shared" si="0"/>
        <v>3313.3333333333335</v>
      </c>
      <c r="R22" s="4"/>
      <c r="S22" s="9"/>
    </row>
    <row r="23" spans="1:19" s="10" customFormat="1" ht="15.75" customHeight="1" x14ac:dyDescent="0.25">
      <c r="A23" s="11">
        <v>20</v>
      </c>
      <c r="B23" s="12" t="s">
        <v>59</v>
      </c>
      <c r="C23" s="12" t="s">
        <v>40</v>
      </c>
      <c r="D23" s="12" t="s">
        <v>48</v>
      </c>
      <c r="E23" s="12" t="s">
        <v>49</v>
      </c>
      <c r="F23" s="13">
        <f>G23/15</f>
        <v>200</v>
      </c>
      <c r="G23" s="13">
        <v>3000</v>
      </c>
      <c r="H23" s="13">
        <f>G23*2</f>
        <v>6000</v>
      </c>
      <c r="I23" s="14">
        <v>15</v>
      </c>
      <c r="J23" s="14"/>
      <c r="K23" s="18">
        <v>565</v>
      </c>
      <c r="L23" s="15">
        <v>200</v>
      </c>
      <c r="M23" s="15"/>
      <c r="N23" s="15"/>
      <c r="O23" s="78">
        <f>Q23-P23</f>
        <v>2235</v>
      </c>
      <c r="P23" s="16"/>
      <c r="Q23" s="16">
        <f>(I23*F23)-(K23+L23+M23+N23)</f>
        <v>2235</v>
      </c>
      <c r="R23" s="31"/>
      <c r="S23" s="17"/>
    </row>
    <row r="24" spans="1:19" s="10" customFormat="1" ht="15.75" customHeight="1" x14ac:dyDescent="0.25">
      <c r="A24" s="11">
        <v>21</v>
      </c>
      <c r="B24" s="12" t="s">
        <v>59</v>
      </c>
      <c r="C24" s="12" t="s">
        <v>40</v>
      </c>
      <c r="D24" s="12" t="s">
        <v>48</v>
      </c>
      <c r="E24" s="21" t="s">
        <v>62</v>
      </c>
      <c r="F24" s="13">
        <f t="shared" si="4"/>
        <v>200</v>
      </c>
      <c r="G24" s="13">
        <v>3000</v>
      </c>
      <c r="H24" s="13">
        <f t="shared" si="2"/>
        <v>6000</v>
      </c>
      <c r="I24" s="14">
        <v>15</v>
      </c>
      <c r="J24" s="14"/>
      <c r="K24" s="15"/>
      <c r="L24" s="15">
        <v>200</v>
      </c>
      <c r="M24" s="15"/>
      <c r="N24" s="15"/>
      <c r="O24" s="78">
        <f t="shared" si="3"/>
        <v>2800</v>
      </c>
      <c r="P24" s="16"/>
      <c r="Q24" s="16">
        <f t="shared" si="0"/>
        <v>2800</v>
      </c>
      <c r="R24" s="12"/>
      <c r="S24" s="17"/>
    </row>
    <row r="25" spans="1:19" s="10" customFormat="1" ht="15.75" customHeight="1" thickBot="1" x14ac:dyDescent="0.3">
      <c r="A25" s="36">
        <v>22</v>
      </c>
      <c r="B25" s="37" t="s">
        <v>59</v>
      </c>
      <c r="C25" s="37" t="s">
        <v>40</v>
      </c>
      <c r="D25" s="37" t="s">
        <v>48</v>
      </c>
      <c r="E25" s="99" t="s">
        <v>63</v>
      </c>
      <c r="F25" s="38">
        <f t="shared" si="4"/>
        <v>200</v>
      </c>
      <c r="G25" s="38">
        <v>3000</v>
      </c>
      <c r="H25" s="38">
        <f t="shared" si="2"/>
        <v>6000</v>
      </c>
      <c r="I25" s="39">
        <v>15</v>
      </c>
      <c r="J25" s="39"/>
      <c r="K25" s="40"/>
      <c r="L25" s="40">
        <v>200</v>
      </c>
      <c r="M25" s="40"/>
      <c r="N25" s="40"/>
      <c r="O25" s="81">
        <f t="shared" si="3"/>
        <v>2800</v>
      </c>
      <c r="P25" s="41"/>
      <c r="Q25" s="41">
        <f t="shared" si="0"/>
        <v>2800</v>
      </c>
      <c r="R25" s="77">
        <f>SUM(Q22:Q25)</f>
        <v>11148.333333333334</v>
      </c>
      <c r="S25" s="42"/>
    </row>
    <row r="26" spans="1:19" s="10" customFormat="1" ht="15.75" customHeight="1" x14ac:dyDescent="0.25">
      <c r="A26" s="3">
        <v>23</v>
      </c>
      <c r="B26" s="4" t="s">
        <v>64</v>
      </c>
      <c r="C26" s="4" t="s">
        <v>65</v>
      </c>
      <c r="D26" s="4" t="s">
        <v>66</v>
      </c>
      <c r="E26" s="59" t="s">
        <v>67</v>
      </c>
      <c r="F26" s="5">
        <f t="shared" si="4"/>
        <v>200</v>
      </c>
      <c r="G26" s="5">
        <v>3000</v>
      </c>
      <c r="H26" s="5">
        <f t="shared" si="2"/>
        <v>6000</v>
      </c>
      <c r="I26" s="6">
        <v>15</v>
      </c>
      <c r="J26" s="6"/>
      <c r="K26" s="7"/>
      <c r="L26" s="7">
        <v>100</v>
      </c>
      <c r="M26" s="7"/>
      <c r="N26" s="7"/>
      <c r="O26" s="80">
        <f t="shared" si="3"/>
        <v>1333.94</v>
      </c>
      <c r="P26" s="8">
        <v>1566.06</v>
      </c>
      <c r="Q26" s="8">
        <f t="shared" si="0"/>
        <v>2900</v>
      </c>
      <c r="R26" s="4"/>
      <c r="S26" s="9"/>
    </row>
    <row r="27" spans="1:19" s="10" customFormat="1" ht="15.75" customHeight="1" x14ac:dyDescent="0.25">
      <c r="A27" s="11">
        <v>24</v>
      </c>
      <c r="B27" s="12" t="s">
        <v>64</v>
      </c>
      <c r="C27" s="12" t="s">
        <v>40</v>
      </c>
      <c r="D27" s="12" t="s">
        <v>74</v>
      </c>
      <c r="E27" s="12" t="s">
        <v>76</v>
      </c>
      <c r="F27" s="13">
        <f>G27/15</f>
        <v>200</v>
      </c>
      <c r="G27" s="13">
        <v>3000</v>
      </c>
      <c r="H27" s="13">
        <f>G27*2</f>
        <v>6000</v>
      </c>
      <c r="I27" s="14">
        <v>15</v>
      </c>
      <c r="J27" s="14"/>
      <c r="K27" s="15"/>
      <c r="L27" s="15">
        <v>50</v>
      </c>
      <c r="M27" s="15"/>
      <c r="N27" s="15"/>
      <c r="O27" s="78">
        <f>Q27-P27</f>
        <v>2950</v>
      </c>
      <c r="P27" s="16"/>
      <c r="Q27" s="16">
        <f>(I27*F27)-(K27+L27+M27+N27)</f>
        <v>2950</v>
      </c>
      <c r="R27" s="13"/>
      <c r="S27" s="17"/>
    </row>
    <row r="28" spans="1:19" s="10" customFormat="1" ht="15.75" customHeight="1" x14ac:dyDescent="0.25">
      <c r="A28" s="11">
        <v>25</v>
      </c>
      <c r="B28" s="12" t="s">
        <v>64</v>
      </c>
      <c r="C28" s="12" t="s">
        <v>40</v>
      </c>
      <c r="D28" s="12" t="s">
        <v>41</v>
      </c>
      <c r="E28" s="12" t="s">
        <v>68</v>
      </c>
      <c r="F28" s="13">
        <f t="shared" si="4"/>
        <v>233.33333333333334</v>
      </c>
      <c r="G28" s="13">
        <v>3500</v>
      </c>
      <c r="H28" s="13">
        <f t="shared" si="2"/>
        <v>7000</v>
      </c>
      <c r="I28" s="14">
        <v>11</v>
      </c>
      <c r="J28" s="14"/>
      <c r="K28" s="15"/>
      <c r="L28" s="15"/>
      <c r="M28" s="15"/>
      <c r="N28" s="15"/>
      <c r="O28" s="78">
        <f t="shared" si="3"/>
        <v>2566.666666666667</v>
      </c>
      <c r="P28" s="16"/>
      <c r="Q28" s="16">
        <f t="shared" si="0"/>
        <v>2566.666666666667</v>
      </c>
      <c r="R28" s="12"/>
      <c r="S28" s="17"/>
    </row>
    <row r="29" spans="1:19" s="10" customFormat="1" ht="15.75" customHeight="1" thickBot="1" x14ac:dyDescent="0.3">
      <c r="A29" s="36">
        <v>26</v>
      </c>
      <c r="B29" s="37" t="s">
        <v>69</v>
      </c>
      <c r="C29" s="37" t="s">
        <v>40</v>
      </c>
      <c r="D29" s="37" t="s">
        <v>70</v>
      </c>
      <c r="E29" s="37" t="s">
        <v>71</v>
      </c>
      <c r="F29" s="38">
        <f t="shared" si="4"/>
        <v>266.66666666666669</v>
      </c>
      <c r="G29" s="38">
        <v>4000</v>
      </c>
      <c r="H29" s="38">
        <f t="shared" si="2"/>
        <v>8000</v>
      </c>
      <c r="I29" s="39">
        <v>15</v>
      </c>
      <c r="J29" s="39"/>
      <c r="K29" s="100">
        <f>500+659</f>
        <v>1159</v>
      </c>
      <c r="L29" s="40">
        <v>200</v>
      </c>
      <c r="M29" s="40">
        <v>150</v>
      </c>
      <c r="N29" s="40"/>
      <c r="O29" s="81">
        <f t="shared" si="3"/>
        <v>2491.0000000000005</v>
      </c>
      <c r="P29" s="41"/>
      <c r="Q29" s="41">
        <f t="shared" si="0"/>
        <v>2491.0000000000005</v>
      </c>
      <c r="R29" s="101">
        <f>SUM(Q26:Q29)</f>
        <v>10907.666666666668</v>
      </c>
      <c r="S29" s="42"/>
    </row>
    <row r="30" spans="1:19" s="10" customFormat="1" ht="15.75" customHeight="1" x14ac:dyDescent="0.25">
      <c r="A30" s="84">
        <v>27</v>
      </c>
      <c r="B30" s="61" t="s">
        <v>72</v>
      </c>
      <c r="C30" s="61" t="s">
        <v>20</v>
      </c>
      <c r="D30" s="61" t="s">
        <v>46</v>
      </c>
      <c r="E30" s="61" t="s">
        <v>124</v>
      </c>
      <c r="F30" s="62">
        <f t="shared" si="4"/>
        <v>333.33333333333331</v>
      </c>
      <c r="G30" s="62">
        <v>5000</v>
      </c>
      <c r="H30" s="62">
        <f t="shared" si="2"/>
        <v>10000</v>
      </c>
      <c r="I30" s="63">
        <v>9</v>
      </c>
      <c r="J30" s="63"/>
      <c r="K30" s="64"/>
      <c r="L30" s="64"/>
      <c r="M30" s="64"/>
      <c r="N30" s="64"/>
      <c r="O30" s="85">
        <f t="shared" si="3"/>
        <v>3000</v>
      </c>
      <c r="P30" s="66"/>
      <c r="Q30" s="66">
        <f t="shared" si="0"/>
        <v>3000</v>
      </c>
      <c r="R30" s="61"/>
      <c r="S30" s="67"/>
    </row>
    <row r="31" spans="1:19" s="10" customFormat="1" ht="15.75" customHeight="1" x14ac:dyDescent="0.25">
      <c r="A31" s="11">
        <v>28</v>
      </c>
      <c r="B31" s="12" t="s">
        <v>72</v>
      </c>
      <c r="C31" s="12" t="s">
        <v>20</v>
      </c>
      <c r="D31" s="12" t="s">
        <v>43</v>
      </c>
      <c r="E31" s="21" t="s">
        <v>44</v>
      </c>
      <c r="F31" s="13">
        <f>G31/15</f>
        <v>200</v>
      </c>
      <c r="G31" s="13">
        <v>3000</v>
      </c>
      <c r="H31" s="13">
        <f>G31*2</f>
        <v>6000</v>
      </c>
      <c r="I31" s="14">
        <v>15</v>
      </c>
      <c r="J31" s="14"/>
      <c r="K31" s="20"/>
      <c r="L31" s="15"/>
      <c r="M31" s="15">
        <v>50</v>
      </c>
      <c r="N31" s="15"/>
      <c r="O31" s="78">
        <f>Q31-P31</f>
        <v>2950</v>
      </c>
      <c r="P31" s="43"/>
      <c r="Q31" s="16">
        <f>(I31*F31)-(K31+L31+M31+N31)</f>
        <v>2950</v>
      </c>
      <c r="R31" s="44"/>
      <c r="S31" s="17"/>
    </row>
    <row r="32" spans="1:19" s="10" customFormat="1" ht="16.5" customHeight="1" x14ac:dyDescent="0.25">
      <c r="A32" s="11">
        <v>29</v>
      </c>
      <c r="B32" s="12" t="s">
        <v>72</v>
      </c>
      <c r="C32" s="12" t="s">
        <v>40</v>
      </c>
      <c r="D32" s="12" t="s">
        <v>74</v>
      </c>
      <c r="E32" s="12" t="s">
        <v>75</v>
      </c>
      <c r="F32" s="13">
        <f t="shared" si="4"/>
        <v>200</v>
      </c>
      <c r="G32" s="13">
        <v>3000</v>
      </c>
      <c r="H32" s="13">
        <f t="shared" si="2"/>
        <v>6000</v>
      </c>
      <c r="I32" s="14">
        <v>15</v>
      </c>
      <c r="J32" s="14"/>
      <c r="K32" s="15"/>
      <c r="L32" s="20">
        <v>100</v>
      </c>
      <c r="M32" s="15"/>
      <c r="N32" s="15"/>
      <c r="O32" s="78">
        <f t="shared" si="3"/>
        <v>2900</v>
      </c>
      <c r="P32" s="16"/>
      <c r="Q32" s="16">
        <f t="shared" si="0"/>
        <v>2900</v>
      </c>
      <c r="R32" s="12"/>
      <c r="S32" s="17"/>
    </row>
    <row r="33" spans="1:19" s="10" customFormat="1" ht="16.5" customHeight="1" x14ac:dyDescent="0.25">
      <c r="A33" s="11">
        <v>30</v>
      </c>
      <c r="B33" s="12" t="s">
        <v>72</v>
      </c>
      <c r="C33" s="12" t="s">
        <v>40</v>
      </c>
      <c r="D33" s="12"/>
      <c r="E33" s="12" t="s">
        <v>125</v>
      </c>
      <c r="F33" s="13">
        <f t="shared" si="4"/>
        <v>200</v>
      </c>
      <c r="G33" s="13">
        <v>3000</v>
      </c>
      <c r="H33" s="13">
        <f t="shared" si="2"/>
        <v>6000</v>
      </c>
      <c r="I33" s="14">
        <v>10</v>
      </c>
      <c r="J33" s="14"/>
      <c r="K33" s="15"/>
      <c r="L33" s="20">
        <v>100</v>
      </c>
      <c r="M33" s="15"/>
      <c r="N33" s="15"/>
      <c r="O33" s="78">
        <f t="shared" si="3"/>
        <v>1900</v>
      </c>
      <c r="P33" s="16"/>
      <c r="Q33" s="16">
        <f t="shared" si="0"/>
        <v>1900</v>
      </c>
      <c r="R33" s="12"/>
      <c r="S33" s="17"/>
    </row>
    <row r="34" spans="1:19" s="10" customFormat="1" ht="15.75" customHeight="1" x14ac:dyDescent="0.25">
      <c r="A34" s="11">
        <v>31</v>
      </c>
      <c r="B34" s="12" t="s">
        <v>72</v>
      </c>
      <c r="C34" s="12" t="s">
        <v>40</v>
      </c>
      <c r="D34" s="12" t="s">
        <v>66</v>
      </c>
      <c r="E34" s="12" t="s">
        <v>110</v>
      </c>
      <c r="F34" s="13">
        <f>G34/15</f>
        <v>200</v>
      </c>
      <c r="G34" s="13">
        <v>3000</v>
      </c>
      <c r="H34" s="13">
        <f>G34*2</f>
        <v>6000</v>
      </c>
      <c r="I34" s="14">
        <v>15</v>
      </c>
      <c r="J34" s="14"/>
      <c r="K34" s="15"/>
      <c r="L34" s="15"/>
      <c r="M34" s="15"/>
      <c r="N34" s="15"/>
      <c r="O34" s="78">
        <f t="shared" si="3"/>
        <v>3000</v>
      </c>
      <c r="P34" s="16"/>
      <c r="Q34" s="16">
        <f t="shared" si="0"/>
        <v>3000</v>
      </c>
      <c r="R34" s="12"/>
      <c r="S34" s="17"/>
    </row>
    <row r="35" spans="1:19" s="10" customFormat="1" ht="15.75" customHeight="1" x14ac:dyDescent="0.25">
      <c r="A35" s="11">
        <v>32</v>
      </c>
      <c r="B35" s="12" t="s">
        <v>72</v>
      </c>
      <c r="C35" s="12" t="s">
        <v>40</v>
      </c>
      <c r="D35" s="12" t="s">
        <v>41</v>
      </c>
      <c r="E35" s="12" t="s">
        <v>78</v>
      </c>
      <c r="F35" s="13">
        <f t="shared" si="4"/>
        <v>200</v>
      </c>
      <c r="G35" s="13">
        <v>3000</v>
      </c>
      <c r="H35" s="13">
        <f t="shared" si="2"/>
        <v>6000</v>
      </c>
      <c r="I35" s="14">
        <v>15</v>
      </c>
      <c r="J35" s="14"/>
      <c r="K35" s="15"/>
      <c r="L35" s="15"/>
      <c r="M35" s="15"/>
      <c r="N35" s="15"/>
      <c r="O35" s="78">
        <f t="shared" si="3"/>
        <v>3000</v>
      </c>
      <c r="P35" s="16"/>
      <c r="Q35" s="16">
        <f t="shared" si="0"/>
        <v>3000</v>
      </c>
      <c r="R35" s="12"/>
      <c r="S35" s="17"/>
    </row>
    <row r="36" spans="1:19" s="10" customFormat="1" ht="15.75" customHeight="1" thickBot="1" x14ac:dyDescent="0.3">
      <c r="A36" s="22">
        <v>33</v>
      </c>
      <c r="B36" s="23" t="s">
        <v>72</v>
      </c>
      <c r="C36" s="23" t="s">
        <v>121</v>
      </c>
      <c r="D36" s="23" t="s">
        <v>80</v>
      </c>
      <c r="E36" s="33" t="s">
        <v>81</v>
      </c>
      <c r="F36" s="24">
        <f t="shared" si="4"/>
        <v>233.33333333333334</v>
      </c>
      <c r="G36" s="24">
        <v>3500</v>
      </c>
      <c r="H36" s="24">
        <f t="shared" si="2"/>
        <v>7000</v>
      </c>
      <c r="I36" s="25">
        <v>15</v>
      </c>
      <c r="J36" s="25"/>
      <c r="K36" s="26"/>
      <c r="L36" s="26"/>
      <c r="M36" s="26"/>
      <c r="N36" s="26"/>
      <c r="O36" s="79">
        <f t="shared" si="3"/>
        <v>3500</v>
      </c>
      <c r="P36" s="27"/>
      <c r="Q36" s="27">
        <f t="shared" si="0"/>
        <v>3500</v>
      </c>
      <c r="R36" s="30">
        <f>SUM(Q30:Q36)</f>
        <v>20250</v>
      </c>
      <c r="S36" s="28"/>
    </row>
    <row r="37" spans="1:19" s="10" customFormat="1" ht="15.75" customHeight="1" x14ac:dyDescent="0.25">
      <c r="A37" s="3">
        <v>34</v>
      </c>
      <c r="B37" s="4" t="s">
        <v>82</v>
      </c>
      <c r="C37" s="4" t="s">
        <v>79</v>
      </c>
      <c r="D37" s="4" t="s">
        <v>83</v>
      </c>
      <c r="E37" s="34" t="s">
        <v>84</v>
      </c>
      <c r="F37" s="5">
        <f t="shared" si="4"/>
        <v>200</v>
      </c>
      <c r="G37" s="5">
        <v>3000</v>
      </c>
      <c r="H37" s="5">
        <f t="shared" si="2"/>
        <v>6000</v>
      </c>
      <c r="I37" s="6">
        <v>15</v>
      </c>
      <c r="J37" s="6"/>
      <c r="K37" s="7"/>
      <c r="L37" s="7"/>
      <c r="M37" s="7"/>
      <c r="N37" s="7"/>
      <c r="O37" s="80">
        <f t="shared" si="3"/>
        <v>3000</v>
      </c>
      <c r="P37" s="8"/>
      <c r="Q37" s="8">
        <f t="shared" si="0"/>
        <v>3000</v>
      </c>
      <c r="R37" s="4"/>
      <c r="S37" s="9"/>
    </row>
    <row r="38" spans="1:19" s="10" customFormat="1" ht="15.75" customHeight="1" x14ac:dyDescent="0.25">
      <c r="A38" s="11">
        <v>35</v>
      </c>
      <c r="B38" s="12" t="s">
        <v>82</v>
      </c>
      <c r="C38" s="12" t="s">
        <v>65</v>
      </c>
      <c r="D38" s="12"/>
      <c r="E38" s="35" t="s">
        <v>127</v>
      </c>
      <c r="F38" s="13">
        <f t="shared" si="4"/>
        <v>166.66666666666666</v>
      </c>
      <c r="G38" s="13">
        <v>2500</v>
      </c>
      <c r="H38" s="13">
        <f t="shared" si="2"/>
        <v>5000</v>
      </c>
      <c r="I38" s="14">
        <v>6</v>
      </c>
      <c r="J38" s="14"/>
      <c r="K38" s="15"/>
      <c r="L38" s="15"/>
      <c r="M38" s="15"/>
      <c r="N38" s="15"/>
      <c r="O38" s="78">
        <f t="shared" si="3"/>
        <v>1000</v>
      </c>
      <c r="P38" s="16"/>
      <c r="Q38" s="16">
        <f t="shared" si="0"/>
        <v>1000</v>
      </c>
      <c r="R38" s="12"/>
      <c r="S38" s="17"/>
    </row>
    <row r="39" spans="1:19" s="10" customFormat="1" ht="15.75" customHeight="1" x14ac:dyDescent="0.25">
      <c r="A39" s="11">
        <v>36</v>
      </c>
      <c r="B39" s="12" t="s">
        <v>82</v>
      </c>
      <c r="C39" s="12" t="s">
        <v>79</v>
      </c>
      <c r="D39" s="12" t="s">
        <v>85</v>
      </c>
      <c r="E39" s="35" t="s">
        <v>86</v>
      </c>
      <c r="F39" s="13">
        <f t="shared" si="4"/>
        <v>200</v>
      </c>
      <c r="G39" s="13">
        <v>3000</v>
      </c>
      <c r="H39" s="13">
        <f t="shared" si="2"/>
        <v>6000</v>
      </c>
      <c r="I39" s="14">
        <v>15</v>
      </c>
      <c r="J39" s="14"/>
      <c r="K39" s="15"/>
      <c r="L39" s="15"/>
      <c r="M39" s="15"/>
      <c r="N39" s="15"/>
      <c r="O39" s="78">
        <f t="shared" si="3"/>
        <v>3000</v>
      </c>
      <c r="P39" s="16"/>
      <c r="Q39" s="16">
        <f t="shared" si="0"/>
        <v>3000</v>
      </c>
      <c r="R39" s="12"/>
      <c r="S39" s="17"/>
    </row>
    <row r="40" spans="1:19" s="10" customFormat="1" ht="15.75" customHeight="1" thickBot="1" x14ac:dyDescent="0.3">
      <c r="A40" s="36">
        <v>37</v>
      </c>
      <c r="B40" s="37" t="s">
        <v>82</v>
      </c>
      <c r="C40" s="37" t="s">
        <v>65</v>
      </c>
      <c r="D40" s="37" t="s">
        <v>66</v>
      </c>
      <c r="E40" s="37" t="s">
        <v>87</v>
      </c>
      <c r="F40" s="38">
        <f t="shared" si="4"/>
        <v>166.66666666666666</v>
      </c>
      <c r="G40" s="38">
        <v>2500</v>
      </c>
      <c r="H40" s="38">
        <f t="shared" si="2"/>
        <v>5000</v>
      </c>
      <c r="I40" s="39">
        <v>12</v>
      </c>
      <c r="J40" s="39"/>
      <c r="K40" s="40"/>
      <c r="L40" s="86"/>
      <c r="M40" s="40"/>
      <c r="N40" s="40"/>
      <c r="O40" s="81">
        <f t="shared" si="3"/>
        <v>2000</v>
      </c>
      <c r="P40" s="41"/>
      <c r="Q40" s="41">
        <f t="shared" si="0"/>
        <v>2000</v>
      </c>
      <c r="R40" s="87">
        <f>SUM(Q37:Q40)</f>
        <v>9000</v>
      </c>
      <c r="S40" s="42"/>
    </row>
    <row r="41" spans="1:19" s="10" customFormat="1" ht="15.75" customHeight="1" x14ac:dyDescent="0.25">
      <c r="A41" s="84">
        <v>38</v>
      </c>
      <c r="B41" s="61" t="s">
        <v>88</v>
      </c>
      <c r="C41" s="61" t="s">
        <v>20</v>
      </c>
      <c r="D41" s="61" t="s">
        <v>90</v>
      </c>
      <c r="E41" s="61" t="s">
        <v>91</v>
      </c>
      <c r="F41" s="62">
        <f t="shared" si="4"/>
        <v>333.33333333333331</v>
      </c>
      <c r="G41" s="62">
        <v>5000</v>
      </c>
      <c r="H41" s="62">
        <f t="shared" si="2"/>
        <v>10000</v>
      </c>
      <c r="I41" s="63">
        <v>15</v>
      </c>
      <c r="J41" s="63"/>
      <c r="K41" s="64"/>
      <c r="L41" s="64"/>
      <c r="M41" s="64">
        <v>200</v>
      </c>
      <c r="N41" s="64"/>
      <c r="O41" s="85">
        <f t="shared" si="3"/>
        <v>4800</v>
      </c>
      <c r="P41" s="66"/>
      <c r="Q41" s="66">
        <f t="shared" si="0"/>
        <v>4800</v>
      </c>
      <c r="R41" s="61"/>
      <c r="S41" s="67"/>
    </row>
    <row r="42" spans="1:19" s="10" customFormat="1" ht="15.75" customHeight="1" x14ac:dyDescent="0.25">
      <c r="A42" s="11">
        <v>39</v>
      </c>
      <c r="B42" s="12" t="s">
        <v>88</v>
      </c>
      <c r="C42" s="12" t="s">
        <v>50</v>
      </c>
      <c r="D42" s="12"/>
      <c r="E42" s="12" t="s">
        <v>114</v>
      </c>
      <c r="F42" s="13">
        <f>G42/15</f>
        <v>166.66666666666666</v>
      </c>
      <c r="G42" s="13">
        <v>2500</v>
      </c>
      <c r="H42" s="13">
        <f>G42*2</f>
        <v>5000</v>
      </c>
      <c r="I42" s="14">
        <v>15</v>
      </c>
      <c r="J42" s="14"/>
      <c r="K42" s="20"/>
      <c r="L42" s="15"/>
      <c r="M42" s="15">
        <v>50</v>
      </c>
      <c r="N42" s="15"/>
      <c r="O42" s="78">
        <f>Q42-P42</f>
        <v>2450</v>
      </c>
      <c r="P42" s="16"/>
      <c r="Q42" s="16">
        <f>(I42*F42)-(K42+L42+M42+N42)</f>
        <v>2450</v>
      </c>
      <c r="R42" s="31"/>
      <c r="S42" s="17"/>
    </row>
    <row r="43" spans="1:19" s="10" customFormat="1" ht="15.75" customHeight="1" x14ac:dyDescent="0.25">
      <c r="A43" s="11">
        <v>40</v>
      </c>
      <c r="B43" s="12" t="s">
        <v>88</v>
      </c>
      <c r="C43" s="12" t="s">
        <v>40</v>
      </c>
      <c r="D43" s="12"/>
      <c r="E43" s="12" t="s">
        <v>115</v>
      </c>
      <c r="F43" s="13">
        <f>G43/15</f>
        <v>166.66666666666666</v>
      </c>
      <c r="G43" s="13">
        <v>2500</v>
      </c>
      <c r="H43" s="13">
        <f>G43*2</f>
        <v>5000</v>
      </c>
      <c r="I43" s="14">
        <v>15</v>
      </c>
      <c r="J43" s="14"/>
      <c r="K43" s="20"/>
      <c r="L43" s="15"/>
      <c r="M43" s="15"/>
      <c r="N43" s="15"/>
      <c r="O43" s="78">
        <f>Q43-P43</f>
        <v>2500</v>
      </c>
      <c r="P43" s="16"/>
      <c r="Q43" s="16">
        <f>(I43*F43)-(K43+L43+M43+N43)</f>
        <v>2500</v>
      </c>
      <c r="R43" s="12"/>
      <c r="S43" s="17"/>
    </row>
    <row r="44" spans="1:19" s="10" customFormat="1" ht="15.75" customHeight="1" x14ac:dyDescent="0.25">
      <c r="A44" s="11">
        <v>41</v>
      </c>
      <c r="B44" s="12" t="s">
        <v>88</v>
      </c>
      <c r="C44" s="12" t="s">
        <v>40</v>
      </c>
      <c r="D44" s="12"/>
      <c r="E44" s="12" t="s">
        <v>92</v>
      </c>
      <c r="F44" s="13">
        <f>G44/15</f>
        <v>200</v>
      </c>
      <c r="G44" s="13">
        <v>3000</v>
      </c>
      <c r="H44" s="13">
        <f>G44*2</f>
        <v>6000</v>
      </c>
      <c r="I44" s="14">
        <v>15</v>
      </c>
      <c r="J44" s="14"/>
      <c r="K44" s="15"/>
      <c r="L44" s="15"/>
      <c r="M44" s="15"/>
      <c r="N44" s="15"/>
      <c r="O44" s="78">
        <f>Q44-P44</f>
        <v>3000</v>
      </c>
      <c r="P44" s="16"/>
      <c r="Q44" s="16">
        <f>(I44*F44)-(K44+L44+M44+N44)</f>
        <v>3000</v>
      </c>
      <c r="R44" s="12"/>
      <c r="S44" s="17"/>
    </row>
    <row r="45" spans="1:19" s="10" customFormat="1" ht="15.75" customHeight="1" x14ac:dyDescent="0.25">
      <c r="A45" s="11">
        <v>42</v>
      </c>
      <c r="B45" s="12" t="s">
        <v>88</v>
      </c>
      <c r="C45" s="12" t="s">
        <v>40</v>
      </c>
      <c r="D45" s="12" t="s">
        <v>94</v>
      </c>
      <c r="E45" s="12" t="s">
        <v>95</v>
      </c>
      <c r="F45" s="13">
        <f t="shared" si="4"/>
        <v>200</v>
      </c>
      <c r="G45" s="13">
        <v>3000</v>
      </c>
      <c r="H45" s="13">
        <f t="shared" si="2"/>
        <v>6000</v>
      </c>
      <c r="I45" s="14">
        <v>15</v>
      </c>
      <c r="J45" s="14"/>
      <c r="K45" s="18">
        <v>500</v>
      </c>
      <c r="L45" s="15"/>
      <c r="M45" s="15"/>
      <c r="N45" s="15"/>
      <c r="O45" s="78">
        <f t="shared" si="3"/>
        <v>2500</v>
      </c>
      <c r="P45" s="45"/>
      <c r="Q45" s="16">
        <f t="shared" si="0"/>
        <v>2500</v>
      </c>
      <c r="R45" s="12"/>
      <c r="S45" s="17"/>
    </row>
    <row r="46" spans="1:19" s="10" customFormat="1" ht="15.75" customHeight="1" thickBot="1" x14ac:dyDescent="0.3">
      <c r="A46" s="22">
        <v>43</v>
      </c>
      <c r="B46" s="29" t="s">
        <v>88</v>
      </c>
      <c r="C46" s="29" t="s">
        <v>79</v>
      </c>
      <c r="D46" s="29" t="s">
        <v>80</v>
      </c>
      <c r="E46" s="29" t="s">
        <v>96</v>
      </c>
      <c r="F46" s="24">
        <f t="shared" si="4"/>
        <v>233.33333333333334</v>
      </c>
      <c r="G46" s="24">
        <v>3500</v>
      </c>
      <c r="H46" s="24">
        <f t="shared" si="2"/>
        <v>7000</v>
      </c>
      <c r="I46" s="25">
        <v>15</v>
      </c>
      <c r="J46" s="25"/>
      <c r="K46" s="26"/>
      <c r="L46" s="26"/>
      <c r="M46" s="26"/>
      <c r="N46" s="26"/>
      <c r="O46" s="79">
        <f t="shared" si="3"/>
        <v>3500</v>
      </c>
      <c r="P46" s="27"/>
      <c r="Q46" s="27">
        <f t="shared" si="0"/>
        <v>3500</v>
      </c>
      <c r="R46" s="46">
        <f>SUM(Q41:Q46)</f>
        <v>18750</v>
      </c>
      <c r="S46" s="28"/>
    </row>
    <row r="47" spans="1:19" s="10" customFormat="1" ht="15.75" customHeight="1" x14ac:dyDescent="0.25">
      <c r="A47" s="3">
        <v>44</v>
      </c>
      <c r="B47" s="4" t="s">
        <v>97</v>
      </c>
      <c r="C47" s="4" t="s">
        <v>50</v>
      </c>
      <c r="D47" s="4" t="s">
        <v>51</v>
      </c>
      <c r="E47" s="4" t="s">
        <v>98</v>
      </c>
      <c r="F47" s="5">
        <f t="shared" si="4"/>
        <v>200</v>
      </c>
      <c r="G47" s="5">
        <v>3000</v>
      </c>
      <c r="H47" s="5">
        <f t="shared" si="2"/>
        <v>6000</v>
      </c>
      <c r="I47" s="6">
        <v>15</v>
      </c>
      <c r="J47" s="6"/>
      <c r="K47" s="7"/>
      <c r="L47" s="7"/>
      <c r="M47" s="7">
        <v>50</v>
      </c>
      <c r="N47" s="7"/>
      <c r="O47" s="80">
        <f t="shared" si="3"/>
        <v>2950</v>
      </c>
      <c r="P47" s="8"/>
      <c r="Q47" s="8">
        <f t="shared" si="0"/>
        <v>2950</v>
      </c>
      <c r="R47" s="4"/>
      <c r="S47" s="9"/>
    </row>
    <row r="48" spans="1:19" s="10" customFormat="1" ht="15.75" customHeight="1" thickBot="1" x14ac:dyDescent="0.3">
      <c r="A48" s="36">
        <v>45</v>
      </c>
      <c r="B48" s="37" t="s">
        <v>97</v>
      </c>
      <c r="C48" s="37" t="s">
        <v>40</v>
      </c>
      <c r="D48" s="37" t="s">
        <v>66</v>
      </c>
      <c r="E48" s="37" t="s">
        <v>112</v>
      </c>
      <c r="F48" s="38">
        <f>G48/15</f>
        <v>200</v>
      </c>
      <c r="G48" s="38">
        <v>3000</v>
      </c>
      <c r="H48" s="38">
        <f>G48*2</f>
        <v>6000</v>
      </c>
      <c r="I48" s="39">
        <v>15</v>
      </c>
      <c r="J48" s="39"/>
      <c r="K48" s="40"/>
      <c r="L48" s="40"/>
      <c r="M48" s="40"/>
      <c r="N48" s="40"/>
      <c r="O48" s="81">
        <f>Q48-P48</f>
        <v>3000</v>
      </c>
      <c r="P48" s="41"/>
      <c r="Q48" s="41">
        <f>(I48*F48)-(K48+L48+M48+N48)</f>
        <v>3000</v>
      </c>
      <c r="R48" s="87">
        <f>SUM(Q47:Q48)</f>
        <v>5950</v>
      </c>
      <c r="S48" s="42"/>
    </row>
    <row r="49" spans="1:19" s="10" customFormat="1" ht="15.75" customHeight="1" x14ac:dyDescent="0.25">
      <c r="A49" s="84">
        <v>46</v>
      </c>
      <c r="B49" s="61" t="s">
        <v>100</v>
      </c>
      <c r="C49" s="61" t="s">
        <v>20</v>
      </c>
      <c r="D49" s="61" t="s">
        <v>46</v>
      </c>
      <c r="E49" s="61" t="s">
        <v>117</v>
      </c>
      <c r="F49" s="62">
        <f>G49/15</f>
        <v>266.66666666666669</v>
      </c>
      <c r="G49" s="62">
        <v>4000</v>
      </c>
      <c r="H49" s="62">
        <f>G49*2</f>
        <v>8000</v>
      </c>
      <c r="I49" s="63">
        <v>15</v>
      </c>
      <c r="J49" s="63"/>
      <c r="K49" s="97">
        <v>1000</v>
      </c>
      <c r="L49" s="64"/>
      <c r="M49" s="64">
        <v>150</v>
      </c>
      <c r="N49" s="64"/>
      <c r="O49" s="85">
        <f>Q49-P49</f>
        <v>2850.0000000000005</v>
      </c>
      <c r="P49" s="66"/>
      <c r="Q49" s="66">
        <f>(I49*F49)-(K49+L49+M49+N49)</f>
        <v>2850.0000000000005</v>
      </c>
      <c r="R49" s="61"/>
      <c r="S49" s="67"/>
    </row>
    <row r="50" spans="1:19" s="10" customFormat="1" ht="15.75" customHeight="1" x14ac:dyDescent="0.25">
      <c r="A50" s="84">
        <v>47</v>
      </c>
      <c r="B50" s="61" t="s">
        <v>100</v>
      </c>
      <c r="C50" s="61" t="s">
        <v>20</v>
      </c>
      <c r="D50" s="61"/>
      <c r="E50" s="61" t="s">
        <v>129</v>
      </c>
      <c r="F50" s="62">
        <f>G50/15</f>
        <v>250</v>
      </c>
      <c r="G50" s="62">
        <v>3750</v>
      </c>
      <c r="H50" s="62">
        <f>G50*2</f>
        <v>7500</v>
      </c>
      <c r="I50" s="63">
        <v>8</v>
      </c>
      <c r="J50" s="63"/>
      <c r="K50" s="106"/>
      <c r="L50" s="64"/>
      <c r="M50" s="64"/>
      <c r="N50" s="64"/>
      <c r="O50" s="85">
        <f t="shared" ref="O50:O51" si="5">Q50-P50</f>
        <v>2000</v>
      </c>
      <c r="P50" s="66"/>
      <c r="Q50" s="66">
        <f t="shared" ref="Q50:Q51" si="6">(I50*F50)-(K50+L50+M50+N50)</f>
        <v>2000</v>
      </c>
      <c r="R50" s="61"/>
      <c r="S50" s="67"/>
    </row>
    <row r="51" spans="1:19" s="10" customFormat="1" ht="15.75" customHeight="1" x14ac:dyDescent="0.25">
      <c r="A51" s="11">
        <v>48</v>
      </c>
      <c r="B51" s="12" t="s">
        <v>100</v>
      </c>
      <c r="C51" s="12" t="s">
        <v>40</v>
      </c>
      <c r="D51" s="12" t="s">
        <v>101</v>
      </c>
      <c r="E51" s="12" t="s">
        <v>102</v>
      </c>
      <c r="F51" s="13">
        <f t="shared" si="4"/>
        <v>200</v>
      </c>
      <c r="G51" s="13">
        <v>3000</v>
      </c>
      <c r="H51" s="13">
        <f t="shared" si="2"/>
        <v>6000</v>
      </c>
      <c r="I51" s="14">
        <v>15</v>
      </c>
      <c r="J51" s="14"/>
      <c r="K51" s="15"/>
      <c r="L51" s="15"/>
      <c r="M51" s="15"/>
      <c r="N51" s="15"/>
      <c r="O51" s="85">
        <f t="shared" si="5"/>
        <v>3000</v>
      </c>
      <c r="P51" s="16"/>
      <c r="Q51" s="66">
        <f t="shared" si="6"/>
        <v>3000</v>
      </c>
      <c r="R51" s="12"/>
      <c r="S51" s="17"/>
    </row>
    <row r="52" spans="1:19" s="10" customFormat="1" ht="15.75" customHeight="1" x14ac:dyDescent="0.25">
      <c r="A52" s="11">
        <v>49</v>
      </c>
      <c r="B52" s="12" t="s">
        <v>103</v>
      </c>
      <c r="C52" s="12" t="s">
        <v>40</v>
      </c>
      <c r="D52" s="12" t="s">
        <v>90</v>
      </c>
      <c r="E52" s="12" t="s">
        <v>104</v>
      </c>
      <c r="F52" s="13">
        <f t="shared" si="4"/>
        <v>200</v>
      </c>
      <c r="G52" s="13">
        <v>3000</v>
      </c>
      <c r="H52" s="13">
        <f t="shared" si="2"/>
        <v>6000</v>
      </c>
      <c r="I52" s="14">
        <v>14</v>
      </c>
      <c r="J52" s="14"/>
      <c r="K52" s="18">
        <v>1000</v>
      </c>
      <c r="L52" s="15"/>
      <c r="M52" s="15"/>
      <c r="N52" s="15"/>
      <c r="O52" s="78">
        <f t="shared" si="3"/>
        <v>1800</v>
      </c>
      <c r="P52" s="16"/>
      <c r="Q52" s="16">
        <f t="shared" si="0"/>
        <v>1800</v>
      </c>
      <c r="R52" s="12"/>
      <c r="S52" s="17"/>
    </row>
    <row r="53" spans="1:19" s="10" customFormat="1" ht="15.75" customHeight="1" x14ac:dyDescent="0.25">
      <c r="A53" s="11">
        <v>50</v>
      </c>
      <c r="B53" s="12" t="s">
        <v>100</v>
      </c>
      <c r="C53" s="12" t="s">
        <v>40</v>
      </c>
      <c r="D53" s="12" t="s">
        <v>41</v>
      </c>
      <c r="E53" s="12" t="s">
        <v>105</v>
      </c>
      <c r="F53" s="13">
        <f t="shared" si="4"/>
        <v>266.66666666666669</v>
      </c>
      <c r="G53" s="13">
        <v>4000</v>
      </c>
      <c r="H53" s="13">
        <f>G53*2</f>
        <v>8000</v>
      </c>
      <c r="I53" s="14">
        <v>15</v>
      </c>
      <c r="J53" s="14"/>
      <c r="K53" s="18">
        <v>600</v>
      </c>
      <c r="L53" s="15"/>
      <c r="M53" s="15"/>
      <c r="N53" s="15"/>
      <c r="O53" s="78">
        <f>Q53-P53</f>
        <v>1833.9400000000005</v>
      </c>
      <c r="P53" s="16">
        <v>1566.06</v>
      </c>
      <c r="Q53" s="16">
        <f t="shared" si="0"/>
        <v>3400.0000000000005</v>
      </c>
      <c r="R53" s="12"/>
      <c r="S53" s="17"/>
    </row>
    <row r="54" spans="1:19" s="10" customFormat="1" ht="15.75" customHeight="1" thickBot="1" x14ac:dyDescent="0.3">
      <c r="A54" s="22">
        <v>51</v>
      </c>
      <c r="B54" s="23" t="s">
        <v>103</v>
      </c>
      <c r="C54" s="23" t="s">
        <v>40</v>
      </c>
      <c r="D54" s="23" t="s">
        <v>48</v>
      </c>
      <c r="E54" s="23" t="s">
        <v>106</v>
      </c>
      <c r="F54" s="24">
        <f t="shared" si="4"/>
        <v>266.66666666666669</v>
      </c>
      <c r="G54" s="24">
        <v>4000</v>
      </c>
      <c r="H54" s="24">
        <f t="shared" si="2"/>
        <v>8000</v>
      </c>
      <c r="I54" s="25">
        <v>15</v>
      </c>
      <c r="J54" s="25"/>
      <c r="K54" s="26"/>
      <c r="L54" s="26"/>
      <c r="M54" s="47"/>
      <c r="N54" s="26"/>
      <c r="O54" s="79">
        <f t="shared" si="3"/>
        <v>4000.0000000000005</v>
      </c>
      <c r="P54" s="27"/>
      <c r="Q54" s="27">
        <f t="shared" si="0"/>
        <v>4000.0000000000005</v>
      </c>
      <c r="R54" s="30">
        <f>SUM(Q49:Q54)</f>
        <v>17050</v>
      </c>
      <c r="S54" s="28"/>
    </row>
    <row r="55" spans="1:19" s="10" customFormat="1" ht="15.75" customHeight="1" x14ac:dyDescent="0.25">
      <c r="A55" s="3">
        <v>52</v>
      </c>
      <c r="B55" s="4" t="s">
        <v>107</v>
      </c>
      <c r="C55" s="4" t="s">
        <v>20</v>
      </c>
      <c r="D55" s="4" t="s">
        <v>108</v>
      </c>
      <c r="E55" s="4" t="s">
        <v>109</v>
      </c>
      <c r="F55" s="5">
        <f t="shared" si="4"/>
        <v>400</v>
      </c>
      <c r="G55" s="5">
        <v>6000</v>
      </c>
      <c r="H55" s="5">
        <f t="shared" si="2"/>
        <v>12000</v>
      </c>
      <c r="I55" s="6">
        <v>15</v>
      </c>
      <c r="J55" s="6"/>
      <c r="K55" s="7"/>
      <c r="L55" s="7"/>
      <c r="M55" s="7"/>
      <c r="N55" s="7"/>
      <c r="O55" s="80">
        <f t="shared" si="3"/>
        <v>6000</v>
      </c>
      <c r="P55" s="8"/>
      <c r="Q55" s="8">
        <f t="shared" si="0"/>
        <v>6000</v>
      </c>
      <c r="R55" s="4"/>
      <c r="S55" s="9"/>
    </row>
    <row r="56" spans="1:19" s="10" customFormat="1" ht="15.75" customHeight="1" x14ac:dyDescent="0.25">
      <c r="A56" s="11">
        <v>53</v>
      </c>
      <c r="B56" s="12" t="s">
        <v>107</v>
      </c>
      <c r="C56" s="12" t="s">
        <v>65</v>
      </c>
      <c r="D56" s="12"/>
      <c r="E56" s="12" t="s">
        <v>126</v>
      </c>
      <c r="F56" s="13">
        <f t="shared" si="4"/>
        <v>200</v>
      </c>
      <c r="G56" s="13">
        <v>3000</v>
      </c>
      <c r="H56" s="13">
        <f t="shared" si="2"/>
        <v>6000</v>
      </c>
      <c r="I56" s="14">
        <v>8</v>
      </c>
      <c r="J56" s="14"/>
      <c r="K56" s="15"/>
      <c r="L56" s="15"/>
      <c r="M56" s="15"/>
      <c r="N56" s="15"/>
      <c r="O56" s="78">
        <f t="shared" si="3"/>
        <v>1600</v>
      </c>
      <c r="P56" s="16"/>
      <c r="Q56" s="16">
        <f t="shared" si="0"/>
        <v>1600</v>
      </c>
      <c r="R56" s="12"/>
      <c r="S56" s="17"/>
    </row>
    <row r="57" spans="1:19" s="10" customFormat="1" ht="15.75" customHeight="1" x14ac:dyDescent="0.25">
      <c r="A57" s="11">
        <v>54</v>
      </c>
      <c r="B57" s="12" t="s">
        <v>107</v>
      </c>
      <c r="C57" s="12" t="s">
        <v>65</v>
      </c>
      <c r="D57" s="12"/>
      <c r="E57" s="12" t="s">
        <v>118</v>
      </c>
      <c r="F57" s="13">
        <f t="shared" si="4"/>
        <v>166.66666666666666</v>
      </c>
      <c r="G57" s="13">
        <v>2500</v>
      </c>
      <c r="H57" s="13">
        <f t="shared" si="2"/>
        <v>5000</v>
      </c>
      <c r="I57" s="14">
        <v>15</v>
      </c>
      <c r="J57" s="14"/>
      <c r="K57" s="15"/>
      <c r="L57" s="15"/>
      <c r="M57" s="15"/>
      <c r="N57" s="15"/>
      <c r="O57" s="78">
        <f t="shared" si="3"/>
        <v>2500</v>
      </c>
      <c r="P57" s="16"/>
      <c r="Q57" s="16">
        <f t="shared" si="0"/>
        <v>2500</v>
      </c>
      <c r="R57" s="12"/>
      <c r="S57" s="17"/>
    </row>
    <row r="58" spans="1:19" s="10" customFormat="1" ht="15.75" customHeight="1" thickBot="1" x14ac:dyDescent="0.3">
      <c r="A58" s="36">
        <v>55</v>
      </c>
      <c r="B58" s="37" t="s">
        <v>107</v>
      </c>
      <c r="C58" s="37" t="s">
        <v>79</v>
      </c>
      <c r="D58" s="37" t="s">
        <v>85</v>
      </c>
      <c r="E58" s="57" t="s">
        <v>111</v>
      </c>
      <c r="F58" s="38">
        <f t="shared" si="4"/>
        <v>200</v>
      </c>
      <c r="G58" s="38">
        <v>3000</v>
      </c>
      <c r="H58" s="38">
        <f t="shared" si="2"/>
        <v>6000</v>
      </c>
      <c r="I58" s="39">
        <v>15</v>
      </c>
      <c r="J58" s="39"/>
      <c r="K58" s="40"/>
      <c r="L58" s="40"/>
      <c r="M58" s="40"/>
      <c r="N58" s="40"/>
      <c r="O58" s="81">
        <f t="shared" si="3"/>
        <v>3000</v>
      </c>
      <c r="P58" s="41"/>
      <c r="Q58" s="41">
        <f>(I58*F58)-(K58+L58+M58+N58)</f>
        <v>3000</v>
      </c>
      <c r="R58" s="77">
        <f>SUM(Q55:Q58)</f>
        <v>13100</v>
      </c>
      <c r="S58" s="42"/>
    </row>
    <row r="59" spans="1:19" s="10" customFormat="1" ht="15.75" customHeight="1" thickBot="1" x14ac:dyDescent="0.3">
      <c r="A59" s="387" t="s">
        <v>113</v>
      </c>
      <c r="B59" s="388"/>
      <c r="C59" s="388"/>
      <c r="D59" s="388"/>
      <c r="E59" s="388"/>
      <c r="F59" s="388"/>
      <c r="G59" s="388"/>
      <c r="H59" s="388"/>
      <c r="I59" s="388"/>
      <c r="J59" s="388"/>
      <c r="K59" s="102">
        <f t="shared" ref="K59:R59" si="7">SUM(K5:K58)</f>
        <v>7134</v>
      </c>
      <c r="L59" s="102">
        <f t="shared" si="7"/>
        <v>1300</v>
      </c>
      <c r="M59" s="102">
        <f t="shared" si="7"/>
        <v>1420</v>
      </c>
      <c r="N59" s="102">
        <f t="shared" si="7"/>
        <v>0</v>
      </c>
      <c r="O59" s="103">
        <f t="shared" si="7"/>
        <v>162117.52000000002</v>
      </c>
      <c r="P59" s="102">
        <f t="shared" si="7"/>
        <v>14424.899999999998</v>
      </c>
      <c r="Q59" s="102">
        <f t="shared" si="7"/>
        <v>204646</v>
      </c>
      <c r="R59" s="102">
        <f t="shared" si="7"/>
        <v>204646</v>
      </c>
      <c r="S59" s="104"/>
    </row>
    <row r="60" spans="1:19" ht="17.25" customHeight="1" x14ac:dyDescent="0.25">
      <c r="A60" s="50"/>
    </row>
    <row r="61" spans="1:19" x14ac:dyDescent="0.25">
      <c r="A61" s="50"/>
      <c r="P61" s="332">
        <f>P59+O59</f>
        <v>176542.42</v>
      </c>
    </row>
    <row r="62" spans="1:19" x14ac:dyDescent="0.25">
      <c r="A62" s="50"/>
    </row>
  </sheetData>
  <autoFilter ref="A4:Q59"/>
  <mergeCells count="4">
    <mergeCell ref="B1:P1"/>
    <mergeCell ref="B2:P2"/>
    <mergeCell ref="B3:P3"/>
    <mergeCell ref="A59:J59"/>
  </mergeCells>
  <pageMargins left="0" right="0" top="0.74803149606299213" bottom="0.78740157480314965" header="0.31496062992125984" footer="0.31496062992125984"/>
  <pageSetup scale="45" fitToHeight="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4"/>
  <sheetViews>
    <sheetView zoomScale="90" zoomScaleNormal="90" workbookViewId="0">
      <pane xSplit="5" ySplit="6" topLeftCell="N75" activePane="bottomRight" state="frozen"/>
      <selection pane="topRight" activeCell="F1" sqref="F1"/>
      <selection pane="bottomLeft" activeCell="A7" sqref="A7"/>
      <selection pane="bottomRight" activeCell="Q88" sqref="Q88"/>
    </sheetView>
  </sheetViews>
  <sheetFormatPr baseColWidth="10" defaultColWidth="9.140625" defaultRowHeight="15" x14ac:dyDescent="0.25"/>
  <cols>
    <col min="1" max="1" width="3" style="107" bestFit="1" customWidth="1"/>
    <col min="2" max="2" width="18.7109375" style="107" customWidth="1"/>
    <col min="3" max="3" width="17.5703125" style="107" customWidth="1"/>
    <col min="4" max="4" width="25" style="107" customWidth="1"/>
    <col min="5" max="5" width="39.7109375" style="107" bestFit="1" customWidth="1"/>
    <col min="6" max="6" width="11" style="51" customWidth="1"/>
    <col min="7" max="8" width="14" style="52" customWidth="1"/>
    <col min="9" max="9" width="11" style="53" customWidth="1"/>
    <col min="10" max="10" width="8.140625" style="53" customWidth="1"/>
    <col min="11" max="11" width="22.140625" style="54" bestFit="1" customWidth="1"/>
    <col min="12" max="12" width="17.28515625" style="54" bestFit="1" customWidth="1"/>
    <col min="13" max="13" width="18.7109375" style="54" bestFit="1" customWidth="1"/>
    <col min="14" max="14" width="17.85546875" style="54" bestFit="1" customWidth="1"/>
    <col min="15" max="15" width="20.7109375" style="105" bestFit="1" customWidth="1"/>
    <col min="16" max="16" width="19" style="107" customWidth="1"/>
    <col min="17" max="18" width="20.7109375" style="107" customWidth="1"/>
    <col min="19" max="19" width="6.85546875" style="107" customWidth="1"/>
    <col min="20" max="20" width="9.140625" style="107" customWidth="1"/>
    <col min="21" max="16384" width="9.140625" style="107"/>
  </cols>
  <sheetData>
    <row r="1" spans="1:19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</row>
    <row r="2" spans="1:19" x14ac:dyDescent="0.25">
      <c r="B2" s="383" t="s">
        <v>134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</row>
    <row r="3" spans="1:19" ht="15.75" thickBot="1" x14ac:dyDescent="0.3">
      <c r="B3" s="383" t="s">
        <v>0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</row>
    <row r="4" spans="1:19" s="111" customFormat="1" ht="19.5" thickBot="1" x14ac:dyDescent="0.35">
      <c r="B4" s="110"/>
      <c r="K4" s="389" t="s">
        <v>144</v>
      </c>
      <c r="L4" s="390"/>
      <c r="M4" s="390"/>
      <c r="N4" s="391"/>
    </row>
    <row r="5" spans="1:19" s="2" customFormat="1" ht="38.25" customHeight="1" thickBot="1" x14ac:dyDescent="0.3">
      <c r="A5" s="1" t="s">
        <v>1</v>
      </c>
      <c r="B5" s="88" t="s">
        <v>2</v>
      </c>
      <c r="C5" s="89" t="s">
        <v>3</v>
      </c>
      <c r="D5" s="89" t="s">
        <v>4</v>
      </c>
      <c r="E5" s="89" t="s">
        <v>5</v>
      </c>
      <c r="F5" s="90" t="s">
        <v>6</v>
      </c>
      <c r="G5" s="91" t="s">
        <v>140</v>
      </c>
      <c r="H5" s="91" t="s">
        <v>141</v>
      </c>
      <c r="I5" s="92" t="s">
        <v>8</v>
      </c>
      <c r="J5" s="89" t="s">
        <v>9</v>
      </c>
      <c r="K5" s="238" t="s">
        <v>10</v>
      </c>
      <c r="L5" s="238" t="s">
        <v>11</v>
      </c>
      <c r="M5" s="238" t="s">
        <v>12</v>
      </c>
      <c r="N5" s="238" t="s">
        <v>13</v>
      </c>
      <c r="O5" s="93" t="s">
        <v>14</v>
      </c>
      <c r="P5" s="94" t="s">
        <v>15</v>
      </c>
      <c r="Q5" s="89" t="s">
        <v>16</v>
      </c>
      <c r="R5" s="95" t="s">
        <v>17</v>
      </c>
      <c r="S5" s="96" t="s">
        <v>18</v>
      </c>
    </row>
    <row r="6" spans="1:19" s="2" customFormat="1" ht="18" customHeight="1" thickBot="1" x14ac:dyDescent="0.3">
      <c r="A6" s="1"/>
      <c r="B6" s="89"/>
      <c r="C6" s="89"/>
      <c r="D6" s="89"/>
      <c r="E6" s="89"/>
      <c r="F6" s="90"/>
      <c r="G6" s="91"/>
      <c r="H6" s="91"/>
      <c r="I6" s="92"/>
      <c r="J6" s="89"/>
      <c r="K6" s="238"/>
      <c r="L6" s="238"/>
      <c r="M6" s="238"/>
      <c r="N6" s="238"/>
      <c r="O6" s="93"/>
      <c r="P6" s="89"/>
      <c r="Q6" s="89"/>
      <c r="R6" s="250"/>
      <c r="S6" s="251"/>
    </row>
    <row r="7" spans="1:19" s="160" customFormat="1" ht="15.75" customHeight="1" x14ac:dyDescent="0.25">
      <c r="A7" s="153">
        <v>1</v>
      </c>
      <c r="B7" s="154" t="s">
        <v>19</v>
      </c>
      <c r="C7" s="154" t="s">
        <v>20</v>
      </c>
      <c r="D7" s="154" t="s">
        <v>21</v>
      </c>
      <c r="E7" s="154" t="s">
        <v>22</v>
      </c>
      <c r="F7" s="155">
        <f>G7/15</f>
        <v>1000</v>
      </c>
      <c r="G7" s="155">
        <v>15000</v>
      </c>
      <c r="H7" s="155">
        <f t="shared" ref="H7:H38" si="0">G7*2</f>
        <v>30000</v>
      </c>
      <c r="I7" s="156">
        <v>15</v>
      </c>
      <c r="J7" s="156"/>
      <c r="K7" s="157"/>
      <c r="L7" s="157"/>
      <c r="M7" s="157"/>
      <c r="N7" s="157"/>
      <c r="O7" s="158">
        <v>15000</v>
      </c>
      <c r="P7" s="237">
        <v>1896.42</v>
      </c>
      <c r="Q7" s="167">
        <f t="shared" ref="Q7:Q38" si="1">(I7*F7)-(K7+L7+M7+N7)</f>
        <v>15000</v>
      </c>
      <c r="R7" s="154"/>
      <c r="S7" s="159"/>
    </row>
    <row r="8" spans="1:19" s="160" customFormat="1" ht="15.75" customHeight="1" x14ac:dyDescent="0.25">
      <c r="A8" s="161">
        <v>2</v>
      </c>
      <c r="B8" s="162" t="s">
        <v>19</v>
      </c>
      <c r="C8" s="162" t="s">
        <v>20</v>
      </c>
      <c r="D8" s="162" t="s">
        <v>23</v>
      </c>
      <c r="E8" s="162" t="s">
        <v>24</v>
      </c>
      <c r="F8" s="163">
        <f t="shared" ref="F8:F18" si="2">G8/15</f>
        <v>1000</v>
      </c>
      <c r="G8" s="163">
        <v>15000</v>
      </c>
      <c r="H8" s="163">
        <f t="shared" si="0"/>
        <v>30000</v>
      </c>
      <c r="I8" s="164">
        <v>15</v>
      </c>
      <c r="J8" s="164"/>
      <c r="K8" s="165"/>
      <c r="L8" s="165"/>
      <c r="M8" s="165"/>
      <c r="N8" s="165"/>
      <c r="O8" s="166">
        <v>15000</v>
      </c>
      <c r="P8" s="167"/>
      <c r="Q8" s="167">
        <f t="shared" si="1"/>
        <v>15000</v>
      </c>
      <c r="R8" s="162"/>
      <c r="S8" s="168"/>
    </row>
    <row r="9" spans="1:19" s="160" customFormat="1" ht="15.75" customHeight="1" x14ac:dyDescent="0.25">
      <c r="A9" s="161">
        <v>3</v>
      </c>
      <c r="B9" s="162" t="s">
        <v>19</v>
      </c>
      <c r="C9" s="162" t="s">
        <v>20</v>
      </c>
      <c r="D9" s="162" t="s">
        <v>27</v>
      </c>
      <c r="E9" s="162" t="s">
        <v>28</v>
      </c>
      <c r="F9" s="163">
        <f t="shared" si="2"/>
        <v>300</v>
      </c>
      <c r="G9" s="163">
        <v>4500</v>
      </c>
      <c r="H9" s="163">
        <f t="shared" si="0"/>
        <v>9000</v>
      </c>
      <c r="I9" s="164">
        <v>15</v>
      </c>
      <c r="J9" s="164"/>
      <c r="K9" s="165"/>
      <c r="L9" s="165"/>
      <c r="M9" s="165"/>
      <c r="N9" s="165"/>
      <c r="O9" s="166">
        <f>Q9-P9</f>
        <v>4500</v>
      </c>
      <c r="P9" s="167"/>
      <c r="Q9" s="167">
        <f t="shared" si="1"/>
        <v>4500</v>
      </c>
      <c r="R9" s="162"/>
      <c r="S9" s="168"/>
    </row>
    <row r="10" spans="1:19" s="160" customFormat="1" ht="15.75" customHeight="1" x14ac:dyDescent="0.25">
      <c r="A10" s="161">
        <v>4</v>
      </c>
      <c r="B10" s="162" t="s">
        <v>19</v>
      </c>
      <c r="C10" s="162" t="s">
        <v>20</v>
      </c>
      <c r="D10" s="162" t="s">
        <v>27</v>
      </c>
      <c r="E10" s="162" t="s">
        <v>29</v>
      </c>
      <c r="F10" s="163">
        <f t="shared" si="2"/>
        <v>200</v>
      </c>
      <c r="G10" s="163">
        <v>3000</v>
      </c>
      <c r="H10" s="163">
        <f t="shared" si="0"/>
        <v>6000</v>
      </c>
      <c r="I10" s="164">
        <v>15</v>
      </c>
      <c r="J10" s="164"/>
      <c r="K10" s="165"/>
      <c r="L10" s="165"/>
      <c r="M10" s="165"/>
      <c r="N10" s="165">
        <v>200</v>
      </c>
      <c r="O10" s="166">
        <f>Q10-P10</f>
        <v>2800</v>
      </c>
      <c r="P10" s="167"/>
      <c r="Q10" s="167">
        <f t="shared" si="1"/>
        <v>2800</v>
      </c>
      <c r="R10" s="162"/>
      <c r="S10" s="168"/>
    </row>
    <row r="11" spans="1:19" s="160" customFormat="1" ht="15.75" customHeight="1" x14ac:dyDescent="0.25">
      <c r="A11" s="161">
        <v>5</v>
      </c>
      <c r="B11" s="162" t="s">
        <v>19</v>
      </c>
      <c r="C11" s="162" t="s">
        <v>20</v>
      </c>
      <c r="D11" s="162" t="s">
        <v>30</v>
      </c>
      <c r="E11" s="162" t="s">
        <v>31</v>
      </c>
      <c r="F11" s="163">
        <f t="shared" si="2"/>
        <v>400</v>
      </c>
      <c r="G11" s="163">
        <v>6000</v>
      </c>
      <c r="H11" s="163">
        <f t="shared" si="0"/>
        <v>12000</v>
      </c>
      <c r="I11" s="164">
        <v>15</v>
      </c>
      <c r="J11" s="164"/>
      <c r="K11" s="165">
        <v>500</v>
      </c>
      <c r="L11" s="165"/>
      <c r="M11" s="165"/>
      <c r="N11" s="165">
        <v>200</v>
      </c>
      <c r="O11" s="166">
        <f t="shared" ref="O11:O67" si="3">Q11-P11</f>
        <v>5300</v>
      </c>
      <c r="P11" s="167"/>
      <c r="Q11" s="167">
        <f t="shared" si="1"/>
        <v>5300</v>
      </c>
      <c r="R11" s="162"/>
      <c r="S11" s="168"/>
    </row>
    <row r="12" spans="1:19" s="160" customFormat="1" ht="15.75" customHeight="1" x14ac:dyDescent="0.25">
      <c r="A12" s="161">
        <v>6</v>
      </c>
      <c r="B12" s="162" t="s">
        <v>19</v>
      </c>
      <c r="C12" s="162" t="s">
        <v>32</v>
      </c>
      <c r="D12" s="169" t="s">
        <v>33</v>
      </c>
      <c r="E12" s="162" t="s">
        <v>34</v>
      </c>
      <c r="F12" s="163">
        <f t="shared" si="2"/>
        <v>333.33333333333331</v>
      </c>
      <c r="G12" s="163">
        <v>5000</v>
      </c>
      <c r="H12" s="163">
        <f t="shared" si="0"/>
        <v>10000</v>
      </c>
      <c r="I12" s="164">
        <v>15</v>
      </c>
      <c r="J12" s="164"/>
      <c r="K12" s="165"/>
      <c r="L12" s="165"/>
      <c r="M12" s="165"/>
      <c r="N12" s="165"/>
      <c r="O12" s="166">
        <f t="shared" si="3"/>
        <v>3433.94</v>
      </c>
      <c r="P12" s="167">
        <v>1566.06</v>
      </c>
      <c r="Q12" s="167">
        <f t="shared" si="1"/>
        <v>5000</v>
      </c>
      <c r="R12" s="162"/>
      <c r="S12" s="168"/>
    </row>
    <row r="13" spans="1:19" s="160" customFormat="1" ht="15.75" customHeight="1" x14ac:dyDescent="0.25">
      <c r="A13" s="161">
        <v>7</v>
      </c>
      <c r="B13" s="162" t="s">
        <v>19</v>
      </c>
      <c r="C13" s="162" t="s">
        <v>32</v>
      </c>
      <c r="D13" s="162" t="s">
        <v>35</v>
      </c>
      <c r="E13" s="162" t="s">
        <v>36</v>
      </c>
      <c r="F13" s="163">
        <f t="shared" si="2"/>
        <v>833.33333333333337</v>
      </c>
      <c r="G13" s="163">
        <v>12500</v>
      </c>
      <c r="H13" s="163">
        <f t="shared" si="0"/>
        <v>25000</v>
      </c>
      <c r="I13" s="164">
        <v>15</v>
      </c>
      <c r="J13" s="164"/>
      <c r="K13" s="165"/>
      <c r="L13" s="165"/>
      <c r="M13" s="165"/>
      <c r="N13" s="165"/>
      <c r="O13" s="166">
        <f t="shared" si="3"/>
        <v>10933.94</v>
      </c>
      <c r="P13" s="167">
        <v>1566.06</v>
      </c>
      <c r="Q13" s="167">
        <f t="shared" si="1"/>
        <v>12500</v>
      </c>
      <c r="R13" s="162"/>
      <c r="S13" s="168"/>
    </row>
    <row r="14" spans="1:19" s="160" customFormat="1" ht="15.75" customHeight="1" x14ac:dyDescent="0.25">
      <c r="A14" s="161">
        <v>8</v>
      </c>
      <c r="B14" s="162" t="s">
        <v>19</v>
      </c>
      <c r="C14" s="162" t="s">
        <v>20</v>
      </c>
      <c r="D14" s="162"/>
      <c r="E14" s="162" t="s">
        <v>136</v>
      </c>
      <c r="F14" s="163">
        <f t="shared" si="2"/>
        <v>666.66666666666663</v>
      </c>
      <c r="G14" s="163">
        <v>10000</v>
      </c>
      <c r="H14" s="163">
        <f t="shared" si="0"/>
        <v>20000</v>
      </c>
      <c r="I14" s="164">
        <v>15</v>
      </c>
      <c r="J14" s="164"/>
      <c r="K14" s="165"/>
      <c r="L14" s="165"/>
      <c r="M14" s="165"/>
      <c r="N14" s="165"/>
      <c r="O14" s="166">
        <f t="shared" si="3"/>
        <v>10000</v>
      </c>
      <c r="P14" s="167"/>
      <c r="Q14" s="167">
        <f t="shared" si="1"/>
        <v>10000</v>
      </c>
      <c r="R14" s="162"/>
      <c r="S14" s="168"/>
    </row>
    <row r="15" spans="1:19" s="160" customFormat="1" ht="15.75" customHeight="1" x14ac:dyDescent="0.25">
      <c r="A15" s="161">
        <v>9</v>
      </c>
      <c r="B15" s="162" t="s">
        <v>19</v>
      </c>
      <c r="C15" s="162" t="s">
        <v>20</v>
      </c>
      <c r="D15" s="162"/>
      <c r="E15" s="162" t="s">
        <v>139</v>
      </c>
      <c r="F15" s="163">
        <f t="shared" si="2"/>
        <v>666.66666666666663</v>
      </c>
      <c r="G15" s="163">
        <v>10000</v>
      </c>
      <c r="H15" s="163">
        <f t="shared" si="0"/>
        <v>20000</v>
      </c>
      <c r="I15" s="164">
        <v>15</v>
      </c>
      <c r="J15" s="164"/>
      <c r="K15" s="165"/>
      <c r="L15" s="165"/>
      <c r="M15" s="165"/>
      <c r="N15" s="165"/>
      <c r="O15" s="166">
        <f t="shared" si="3"/>
        <v>10000</v>
      </c>
      <c r="P15" s="167"/>
      <c r="Q15" s="167">
        <f t="shared" si="1"/>
        <v>10000</v>
      </c>
      <c r="R15" s="162"/>
      <c r="S15" s="168"/>
    </row>
    <row r="16" spans="1:19" s="160" customFormat="1" ht="15.75" customHeight="1" x14ac:dyDescent="0.25">
      <c r="A16" s="161">
        <v>10</v>
      </c>
      <c r="B16" s="162" t="s">
        <v>19</v>
      </c>
      <c r="C16" s="162" t="s">
        <v>20</v>
      </c>
      <c r="D16" s="162"/>
      <c r="E16" s="162" t="s">
        <v>137</v>
      </c>
      <c r="F16" s="163">
        <f t="shared" si="2"/>
        <v>233.33333333333334</v>
      </c>
      <c r="G16" s="163">
        <v>3500</v>
      </c>
      <c r="H16" s="163">
        <f t="shared" si="0"/>
        <v>7000</v>
      </c>
      <c r="I16" s="164">
        <v>4</v>
      </c>
      <c r="J16" s="164"/>
      <c r="K16" s="165"/>
      <c r="L16" s="165"/>
      <c r="M16" s="165"/>
      <c r="N16" s="165">
        <v>200</v>
      </c>
      <c r="O16" s="166">
        <f t="shared" si="3"/>
        <v>733.33333333333337</v>
      </c>
      <c r="P16" s="167"/>
      <c r="Q16" s="167">
        <f t="shared" si="1"/>
        <v>733.33333333333337</v>
      </c>
      <c r="R16" s="162"/>
      <c r="S16" s="168"/>
    </row>
    <row r="17" spans="1:19" s="160" customFormat="1" ht="15.75" customHeight="1" x14ac:dyDescent="0.25">
      <c r="A17" s="161">
        <v>11</v>
      </c>
      <c r="B17" s="162" t="s">
        <v>19</v>
      </c>
      <c r="C17" s="162" t="s">
        <v>20</v>
      </c>
      <c r="D17" s="162"/>
      <c r="E17" s="162" t="s">
        <v>130</v>
      </c>
      <c r="F17" s="163">
        <f t="shared" si="2"/>
        <v>500</v>
      </c>
      <c r="G17" s="163">
        <v>7500</v>
      </c>
      <c r="H17" s="163">
        <f t="shared" si="0"/>
        <v>15000</v>
      </c>
      <c r="I17" s="164">
        <v>14</v>
      </c>
      <c r="J17" s="164"/>
      <c r="K17" s="165"/>
      <c r="L17" s="165"/>
      <c r="M17" s="165"/>
      <c r="N17" s="165">
        <v>200</v>
      </c>
      <c r="O17" s="166">
        <f t="shared" si="3"/>
        <v>6800</v>
      </c>
      <c r="P17" s="167"/>
      <c r="Q17" s="167">
        <f t="shared" si="1"/>
        <v>6800</v>
      </c>
      <c r="R17" s="162"/>
      <c r="S17" s="168"/>
    </row>
    <row r="18" spans="1:19" s="160" customFormat="1" ht="15.75" customHeight="1" thickBot="1" x14ac:dyDescent="0.3">
      <c r="A18" s="170">
        <v>12</v>
      </c>
      <c r="B18" s="171" t="s">
        <v>19</v>
      </c>
      <c r="C18" s="171" t="s">
        <v>32</v>
      </c>
      <c r="D18" s="171" t="s">
        <v>37</v>
      </c>
      <c r="E18" s="171" t="s">
        <v>38</v>
      </c>
      <c r="F18" s="172">
        <f t="shared" si="2"/>
        <v>266.66666666666669</v>
      </c>
      <c r="G18" s="172">
        <v>4000</v>
      </c>
      <c r="H18" s="172">
        <f t="shared" si="0"/>
        <v>8000</v>
      </c>
      <c r="I18" s="173">
        <v>15</v>
      </c>
      <c r="J18" s="173"/>
      <c r="K18" s="174"/>
      <c r="L18" s="174"/>
      <c r="M18" s="174"/>
      <c r="N18" s="174">
        <v>200</v>
      </c>
      <c r="O18" s="175">
        <f t="shared" si="3"/>
        <v>2233.9400000000005</v>
      </c>
      <c r="P18" s="176">
        <v>1566.06</v>
      </c>
      <c r="Q18" s="176">
        <f t="shared" si="1"/>
        <v>3800.0000000000005</v>
      </c>
      <c r="R18" s="177">
        <f>SUM(Q7:Q18)</f>
        <v>91433.333333333328</v>
      </c>
      <c r="S18" s="178"/>
    </row>
    <row r="19" spans="1:19" s="144" customFormat="1" ht="15.75" customHeight="1" x14ac:dyDescent="0.25">
      <c r="A19" s="136">
        <v>13</v>
      </c>
      <c r="B19" s="137" t="s">
        <v>39</v>
      </c>
      <c r="C19" s="137" t="s">
        <v>20</v>
      </c>
      <c r="D19" s="137" t="s">
        <v>51</v>
      </c>
      <c r="E19" s="137" t="s">
        <v>52</v>
      </c>
      <c r="F19" s="138">
        <f>G19/15</f>
        <v>266.66666666666669</v>
      </c>
      <c r="G19" s="138">
        <v>4000</v>
      </c>
      <c r="H19" s="138">
        <f t="shared" si="0"/>
        <v>8000</v>
      </c>
      <c r="I19" s="139">
        <v>15</v>
      </c>
      <c r="J19" s="139"/>
      <c r="K19" s="140"/>
      <c r="L19" s="140">
        <v>50</v>
      </c>
      <c r="M19" s="140">
        <f>50+250</f>
        <v>300</v>
      </c>
      <c r="N19" s="140"/>
      <c r="O19" s="141">
        <f>Q19-P19</f>
        <v>3650.0000000000005</v>
      </c>
      <c r="P19" s="142"/>
      <c r="Q19" s="142">
        <f t="shared" si="1"/>
        <v>3650.0000000000005</v>
      </c>
      <c r="R19" s="137"/>
      <c r="S19" s="143"/>
    </row>
    <row r="20" spans="1:19" s="144" customFormat="1" ht="15.75" customHeight="1" thickBot="1" x14ac:dyDescent="0.3">
      <c r="A20" s="145">
        <v>14</v>
      </c>
      <c r="B20" s="146" t="s">
        <v>39</v>
      </c>
      <c r="C20" s="146" t="s">
        <v>40</v>
      </c>
      <c r="D20" s="146" t="s">
        <v>41</v>
      </c>
      <c r="E20" s="146" t="s">
        <v>42</v>
      </c>
      <c r="F20" s="147">
        <f>G20/15</f>
        <v>240</v>
      </c>
      <c r="G20" s="147">
        <v>3600</v>
      </c>
      <c r="H20" s="147">
        <f t="shared" si="0"/>
        <v>7200</v>
      </c>
      <c r="I20" s="148">
        <v>15</v>
      </c>
      <c r="J20" s="148"/>
      <c r="K20" s="149"/>
      <c r="L20" s="149">
        <v>250</v>
      </c>
      <c r="M20" s="149"/>
      <c r="N20" s="149"/>
      <c r="O20" s="150">
        <f>Q20-P20</f>
        <v>1783.94</v>
      </c>
      <c r="P20" s="151">
        <v>1566.06</v>
      </c>
      <c r="Q20" s="151">
        <f t="shared" si="1"/>
        <v>3350</v>
      </c>
      <c r="R20" s="179">
        <f>SUM(Q19:Q20)</f>
        <v>7000</v>
      </c>
      <c r="S20" s="152"/>
    </row>
    <row r="21" spans="1:19" s="119" customFormat="1" ht="15.75" customHeight="1" x14ac:dyDescent="0.25">
      <c r="A21" s="112">
        <v>15</v>
      </c>
      <c r="B21" s="113" t="s">
        <v>45</v>
      </c>
      <c r="C21" s="113" t="s">
        <v>50</v>
      </c>
      <c r="D21" s="113" t="s">
        <v>89</v>
      </c>
      <c r="E21" s="113" t="s">
        <v>116</v>
      </c>
      <c r="F21" s="114">
        <f>G21/15</f>
        <v>266.66666666666669</v>
      </c>
      <c r="G21" s="114">
        <v>4000</v>
      </c>
      <c r="H21" s="114">
        <f t="shared" si="0"/>
        <v>8000</v>
      </c>
      <c r="I21" s="115">
        <v>15</v>
      </c>
      <c r="J21" s="115"/>
      <c r="K21" s="56"/>
      <c r="L21" s="56"/>
      <c r="M21" s="56">
        <v>50</v>
      </c>
      <c r="N21" s="56"/>
      <c r="O21" s="116">
        <f>Q21-P21</f>
        <v>3950.0000000000005</v>
      </c>
      <c r="P21" s="117"/>
      <c r="Q21" s="117">
        <f t="shared" si="1"/>
        <v>3950.0000000000005</v>
      </c>
      <c r="R21" s="113"/>
      <c r="S21" s="118"/>
    </row>
    <row r="22" spans="1:19" s="119" customFormat="1" ht="15.75" customHeight="1" x14ac:dyDescent="0.25">
      <c r="A22" s="120">
        <v>16</v>
      </c>
      <c r="B22" s="121" t="s">
        <v>45</v>
      </c>
      <c r="C22" s="121" t="s">
        <v>40</v>
      </c>
      <c r="D22" s="121" t="s">
        <v>41</v>
      </c>
      <c r="E22" s="127" t="s">
        <v>93</v>
      </c>
      <c r="F22" s="122">
        <f>G22/15</f>
        <v>200</v>
      </c>
      <c r="G22" s="122">
        <v>3000</v>
      </c>
      <c r="H22" s="122">
        <f t="shared" si="0"/>
        <v>6000</v>
      </c>
      <c r="I22" s="123">
        <v>15</v>
      </c>
      <c r="J22" s="123"/>
      <c r="K22" s="18"/>
      <c r="L22" s="18"/>
      <c r="M22" s="18"/>
      <c r="N22" s="18"/>
      <c r="O22" s="124">
        <f>Q22-P22</f>
        <v>3000</v>
      </c>
      <c r="P22" s="180"/>
      <c r="Q22" s="125">
        <f t="shared" si="1"/>
        <v>3000</v>
      </c>
      <c r="R22" s="181"/>
      <c r="S22" s="126"/>
    </row>
    <row r="23" spans="1:19" s="119" customFormat="1" ht="15.75" customHeight="1" thickBot="1" x14ac:dyDescent="0.3">
      <c r="A23" s="128">
        <v>17</v>
      </c>
      <c r="B23" s="129" t="s">
        <v>45</v>
      </c>
      <c r="C23" s="129" t="s">
        <v>40</v>
      </c>
      <c r="D23" s="129" t="s">
        <v>41</v>
      </c>
      <c r="E23" s="129" t="s">
        <v>53</v>
      </c>
      <c r="F23" s="130">
        <f t="shared" ref="F23:F67" si="4">G23/15</f>
        <v>266.66666666666669</v>
      </c>
      <c r="G23" s="130">
        <v>4000</v>
      </c>
      <c r="H23" s="130">
        <f t="shared" si="0"/>
        <v>8000</v>
      </c>
      <c r="I23" s="131">
        <v>14</v>
      </c>
      <c r="J23" s="131">
        <v>1</v>
      </c>
      <c r="K23" s="108"/>
      <c r="L23" s="108">
        <v>100</v>
      </c>
      <c r="M23" s="108"/>
      <c r="N23" s="108"/>
      <c r="O23" s="132">
        <f t="shared" si="3"/>
        <v>2067.2733333333335</v>
      </c>
      <c r="P23" s="133">
        <v>1566.06</v>
      </c>
      <c r="Q23" s="133">
        <f t="shared" si="1"/>
        <v>3633.3333333333335</v>
      </c>
      <c r="R23" s="134">
        <f>SUM(Q21:Q23)</f>
        <v>10583.333333333334</v>
      </c>
      <c r="S23" s="135"/>
    </row>
    <row r="24" spans="1:19" s="216" customFormat="1" ht="15.75" customHeight="1" x14ac:dyDescent="0.25">
      <c r="A24" s="208">
        <v>18</v>
      </c>
      <c r="B24" s="209" t="s">
        <v>54</v>
      </c>
      <c r="C24" s="209" t="s">
        <v>20</v>
      </c>
      <c r="D24" s="209" t="s">
        <v>46</v>
      </c>
      <c r="E24" s="209" t="s">
        <v>55</v>
      </c>
      <c r="F24" s="210">
        <f t="shared" si="4"/>
        <v>266.66666666666669</v>
      </c>
      <c r="G24" s="210">
        <v>4000</v>
      </c>
      <c r="H24" s="210">
        <f t="shared" si="0"/>
        <v>8000</v>
      </c>
      <c r="I24" s="211">
        <v>15</v>
      </c>
      <c r="J24" s="211"/>
      <c r="K24" s="212">
        <v>289</v>
      </c>
      <c r="L24" s="212">
        <v>50</v>
      </c>
      <c r="M24" s="212">
        <v>50</v>
      </c>
      <c r="N24" s="212"/>
      <c r="O24" s="213">
        <f t="shared" si="3"/>
        <v>2044.9400000000005</v>
      </c>
      <c r="P24" s="214">
        <v>1566.06</v>
      </c>
      <c r="Q24" s="214">
        <f t="shared" si="1"/>
        <v>3611.0000000000005</v>
      </c>
      <c r="R24" s="209"/>
      <c r="S24" s="215"/>
    </row>
    <row r="25" spans="1:19" s="216" customFormat="1" ht="15.75" customHeight="1" x14ac:dyDescent="0.25">
      <c r="A25" s="217">
        <v>19</v>
      </c>
      <c r="B25" s="218" t="s">
        <v>56</v>
      </c>
      <c r="C25" s="218" t="s">
        <v>40</v>
      </c>
      <c r="D25" s="218" t="s">
        <v>41</v>
      </c>
      <c r="E25" s="218" t="s">
        <v>57</v>
      </c>
      <c r="F25" s="219">
        <f t="shared" si="4"/>
        <v>166.66666666666666</v>
      </c>
      <c r="G25" s="219">
        <v>2500</v>
      </c>
      <c r="H25" s="219">
        <f t="shared" si="0"/>
        <v>5000</v>
      </c>
      <c r="I25" s="220">
        <v>15</v>
      </c>
      <c r="J25" s="220"/>
      <c r="K25" s="221"/>
      <c r="L25" s="221"/>
      <c r="M25" s="221"/>
      <c r="N25" s="221">
        <v>135</v>
      </c>
      <c r="O25" s="222">
        <f t="shared" si="3"/>
        <v>2365</v>
      </c>
      <c r="P25" s="223"/>
      <c r="Q25" s="223">
        <f t="shared" si="1"/>
        <v>2365</v>
      </c>
      <c r="R25" s="218"/>
      <c r="S25" s="224"/>
    </row>
    <row r="26" spans="1:19" s="216" customFormat="1" ht="15.75" customHeight="1" thickBot="1" x14ac:dyDescent="0.3">
      <c r="A26" s="225">
        <v>20</v>
      </c>
      <c r="B26" s="226" t="s">
        <v>56</v>
      </c>
      <c r="C26" s="226" t="s">
        <v>40</v>
      </c>
      <c r="D26" s="226" t="s">
        <v>41</v>
      </c>
      <c r="E26" s="226" t="s">
        <v>58</v>
      </c>
      <c r="F26" s="227">
        <f t="shared" si="4"/>
        <v>200</v>
      </c>
      <c r="G26" s="227">
        <v>3000</v>
      </c>
      <c r="H26" s="227">
        <f t="shared" si="0"/>
        <v>6000</v>
      </c>
      <c r="I26" s="228">
        <v>15</v>
      </c>
      <c r="J26" s="228"/>
      <c r="K26" s="229"/>
      <c r="L26" s="229">
        <v>50</v>
      </c>
      <c r="M26" s="229"/>
      <c r="N26" s="229">
        <v>135</v>
      </c>
      <c r="O26" s="230">
        <f t="shared" si="3"/>
        <v>2815</v>
      </c>
      <c r="P26" s="231"/>
      <c r="Q26" s="231">
        <f t="shared" si="1"/>
        <v>2815</v>
      </c>
      <c r="R26" s="232">
        <f>SUM(Q24:Q26)</f>
        <v>8791</v>
      </c>
      <c r="S26" s="233"/>
    </row>
    <row r="27" spans="1:19" s="190" customFormat="1" ht="15.75" customHeight="1" x14ac:dyDescent="0.25">
      <c r="A27" s="182">
        <v>21</v>
      </c>
      <c r="B27" s="183" t="s">
        <v>59</v>
      </c>
      <c r="C27" s="183" t="s">
        <v>20</v>
      </c>
      <c r="D27" s="183"/>
      <c r="E27" s="183" t="s">
        <v>129</v>
      </c>
      <c r="F27" s="184">
        <f>G27/15</f>
        <v>266.66666666666669</v>
      </c>
      <c r="G27" s="184">
        <v>4000</v>
      </c>
      <c r="H27" s="184">
        <f t="shared" si="0"/>
        <v>8000</v>
      </c>
      <c r="I27" s="185">
        <v>15</v>
      </c>
      <c r="J27" s="185"/>
      <c r="K27" s="186"/>
      <c r="L27" s="186"/>
      <c r="M27" s="186">
        <f>50+50</f>
        <v>100</v>
      </c>
      <c r="N27" s="186"/>
      <c r="O27" s="187">
        <f>Q27-P27</f>
        <v>3900.0000000000005</v>
      </c>
      <c r="P27" s="188"/>
      <c r="Q27" s="188">
        <f t="shared" si="1"/>
        <v>3900.0000000000005</v>
      </c>
      <c r="R27" s="183"/>
      <c r="S27" s="189"/>
    </row>
    <row r="28" spans="1:19" s="190" customFormat="1" ht="15.75" customHeight="1" x14ac:dyDescent="0.25">
      <c r="A28" s="191">
        <v>22</v>
      </c>
      <c r="B28" s="192" t="s">
        <v>59</v>
      </c>
      <c r="C28" s="192" t="s">
        <v>20</v>
      </c>
      <c r="D28" s="192" t="s">
        <v>60</v>
      </c>
      <c r="E28" s="192" t="s">
        <v>61</v>
      </c>
      <c r="F28" s="193">
        <f t="shared" si="4"/>
        <v>266.66666666666669</v>
      </c>
      <c r="G28" s="193">
        <v>4000</v>
      </c>
      <c r="H28" s="193">
        <f t="shared" si="0"/>
        <v>8000</v>
      </c>
      <c r="I28" s="194">
        <v>9</v>
      </c>
      <c r="J28" s="194"/>
      <c r="K28" s="195"/>
      <c r="L28" s="195"/>
      <c r="M28" s="195">
        <f>100+161+50</f>
        <v>311</v>
      </c>
      <c r="N28" s="195"/>
      <c r="O28" s="196">
        <f>Q28-P28</f>
        <v>2089</v>
      </c>
      <c r="P28" s="197"/>
      <c r="Q28" s="197">
        <f t="shared" si="1"/>
        <v>2089</v>
      </c>
      <c r="R28" s="192"/>
      <c r="S28" s="198"/>
    </row>
    <row r="29" spans="1:19" s="190" customFormat="1" ht="15.75" customHeight="1" x14ac:dyDescent="0.25">
      <c r="A29" s="191">
        <v>23</v>
      </c>
      <c r="B29" s="192" t="s">
        <v>59</v>
      </c>
      <c r="C29" s="192" t="s">
        <v>40</v>
      </c>
      <c r="D29" s="192" t="s">
        <v>48</v>
      </c>
      <c r="E29" s="192" t="s">
        <v>49</v>
      </c>
      <c r="F29" s="193">
        <f>G29/15</f>
        <v>200</v>
      </c>
      <c r="G29" s="193">
        <v>3000</v>
      </c>
      <c r="H29" s="193">
        <f t="shared" si="0"/>
        <v>6000</v>
      </c>
      <c r="I29" s="194">
        <v>15</v>
      </c>
      <c r="J29" s="194"/>
      <c r="K29" s="195">
        <v>565</v>
      </c>
      <c r="L29" s="195">
        <v>150</v>
      </c>
      <c r="M29" s="195"/>
      <c r="N29" s="195"/>
      <c r="O29" s="196">
        <f>Q29-P29</f>
        <v>2285</v>
      </c>
      <c r="P29" s="197"/>
      <c r="Q29" s="197">
        <f t="shared" si="1"/>
        <v>2285</v>
      </c>
      <c r="R29" s="234"/>
      <c r="S29" s="198"/>
    </row>
    <row r="30" spans="1:19" s="190" customFormat="1" ht="15.75" customHeight="1" x14ac:dyDescent="0.25">
      <c r="A30" s="191">
        <v>24</v>
      </c>
      <c r="B30" s="192" t="s">
        <v>59</v>
      </c>
      <c r="C30" s="192" t="s">
        <v>40</v>
      </c>
      <c r="D30" s="192" t="s">
        <v>48</v>
      </c>
      <c r="E30" s="235" t="s">
        <v>62</v>
      </c>
      <c r="F30" s="193">
        <f t="shared" si="4"/>
        <v>200</v>
      </c>
      <c r="G30" s="193">
        <v>3000</v>
      </c>
      <c r="H30" s="193">
        <f t="shared" si="0"/>
        <v>6000</v>
      </c>
      <c r="I30" s="194">
        <v>14</v>
      </c>
      <c r="J30" s="194">
        <v>1</v>
      </c>
      <c r="K30" s="195"/>
      <c r="L30" s="195">
        <v>200</v>
      </c>
      <c r="M30" s="195">
        <v>200</v>
      </c>
      <c r="N30" s="195"/>
      <c r="O30" s="196">
        <f t="shared" si="3"/>
        <v>2400</v>
      </c>
      <c r="P30" s="197"/>
      <c r="Q30" s="197">
        <f t="shared" si="1"/>
        <v>2400</v>
      </c>
      <c r="R30" s="192"/>
      <c r="S30" s="198"/>
    </row>
    <row r="31" spans="1:19" s="190" customFormat="1" ht="15.75" customHeight="1" thickBot="1" x14ac:dyDescent="0.3">
      <c r="A31" s="199">
        <v>25</v>
      </c>
      <c r="B31" s="200" t="s">
        <v>59</v>
      </c>
      <c r="C31" s="200" t="s">
        <v>40</v>
      </c>
      <c r="D31" s="200" t="s">
        <v>48</v>
      </c>
      <c r="E31" s="236" t="s">
        <v>63</v>
      </c>
      <c r="F31" s="201">
        <f t="shared" si="4"/>
        <v>200</v>
      </c>
      <c r="G31" s="201">
        <v>3000</v>
      </c>
      <c r="H31" s="201">
        <f t="shared" si="0"/>
        <v>6000</v>
      </c>
      <c r="I31" s="202">
        <v>14</v>
      </c>
      <c r="J31" s="202">
        <v>1</v>
      </c>
      <c r="K31" s="203"/>
      <c r="L31" s="203">
        <v>200</v>
      </c>
      <c r="M31" s="203">
        <v>200</v>
      </c>
      <c r="N31" s="203"/>
      <c r="O31" s="204">
        <f t="shared" si="3"/>
        <v>2400</v>
      </c>
      <c r="P31" s="205"/>
      <c r="Q31" s="205">
        <f t="shared" si="1"/>
        <v>2400</v>
      </c>
      <c r="R31" s="206">
        <f>SUM(Q27:Q31)</f>
        <v>13074</v>
      </c>
      <c r="S31" s="207"/>
    </row>
    <row r="32" spans="1:19" s="10" customFormat="1" ht="15.75" customHeight="1" x14ac:dyDescent="0.25">
      <c r="A32" s="3">
        <v>26</v>
      </c>
      <c r="B32" s="4" t="s">
        <v>64</v>
      </c>
      <c r="C32" s="4" t="s">
        <v>65</v>
      </c>
      <c r="D32" s="4" t="s">
        <v>66</v>
      </c>
      <c r="E32" s="59" t="s">
        <v>67</v>
      </c>
      <c r="F32" s="5">
        <f t="shared" si="4"/>
        <v>200</v>
      </c>
      <c r="G32" s="5">
        <v>3000</v>
      </c>
      <c r="H32" s="5">
        <f t="shared" si="0"/>
        <v>6000</v>
      </c>
      <c r="I32" s="6">
        <v>14</v>
      </c>
      <c r="J32" s="6">
        <v>1</v>
      </c>
      <c r="K32" s="7">
        <v>400</v>
      </c>
      <c r="L32" s="7"/>
      <c r="M32" s="7"/>
      <c r="N32" s="7"/>
      <c r="O32" s="80">
        <f t="shared" si="3"/>
        <v>833.94</v>
      </c>
      <c r="P32" s="8">
        <v>1566.06</v>
      </c>
      <c r="Q32" s="8">
        <f t="shared" si="1"/>
        <v>2400</v>
      </c>
      <c r="R32" s="4"/>
      <c r="S32" s="9"/>
    </row>
    <row r="33" spans="1:19" s="10" customFormat="1" ht="15.75" customHeight="1" x14ac:dyDescent="0.25">
      <c r="A33" s="11">
        <v>27</v>
      </c>
      <c r="B33" s="12" t="s">
        <v>64</v>
      </c>
      <c r="C33" s="12" t="s">
        <v>40</v>
      </c>
      <c r="D33" s="12" t="s">
        <v>74</v>
      </c>
      <c r="E33" s="12" t="s">
        <v>76</v>
      </c>
      <c r="F33" s="13">
        <f>G33/15</f>
        <v>200</v>
      </c>
      <c r="G33" s="13">
        <v>3000</v>
      </c>
      <c r="H33" s="13">
        <f t="shared" si="0"/>
        <v>6000</v>
      </c>
      <c r="I33" s="14">
        <v>11</v>
      </c>
      <c r="J33" s="14"/>
      <c r="K33" s="15"/>
      <c r="L33" s="15">
        <v>50</v>
      </c>
      <c r="M33" s="15"/>
      <c r="N33" s="15">
        <v>135</v>
      </c>
      <c r="O33" s="78">
        <f>Q33-P33</f>
        <v>2015</v>
      </c>
      <c r="P33" s="16"/>
      <c r="Q33" s="16">
        <f t="shared" si="1"/>
        <v>2015</v>
      </c>
      <c r="R33" s="13"/>
      <c r="S33" s="17"/>
    </row>
    <row r="34" spans="1:19" s="10" customFormat="1" ht="15.75" customHeight="1" x14ac:dyDescent="0.25">
      <c r="A34" s="11">
        <v>28</v>
      </c>
      <c r="B34" s="12" t="s">
        <v>64</v>
      </c>
      <c r="C34" s="12" t="s">
        <v>40</v>
      </c>
      <c r="D34" s="12"/>
      <c r="E34" s="12"/>
      <c r="F34" s="13">
        <f>G34/15</f>
        <v>200</v>
      </c>
      <c r="G34" s="13">
        <v>3000</v>
      </c>
      <c r="H34" s="13">
        <f t="shared" si="0"/>
        <v>6000</v>
      </c>
      <c r="I34" s="14">
        <v>15</v>
      </c>
      <c r="J34" s="14"/>
      <c r="K34" s="15"/>
      <c r="L34" s="15"/>
      <c r="M34" s="15"/>
      <c r="N34" s="15">
        <v>135</v>
      </c>
      <c r="O34" s="78">
        <f>Q34-P34</f>
        <v>2865</v>
      </c>
      <c r="P34" s="16"/>
      <c r="Q34" s="16">
        <f t="shared" si="1"/>
        <v>2865</v>
      </c>
      <c r="R34" s="12"/>
      <c r="S34" s="17"/>
    </row>
    <row r="35" spans="1:19" s="10" customFormat="1" ht="15.75" customHeight="1" x14ac:dyDescent="0.25">
      <c r="A35" s="11">
        <v>29</v>
      </c>
      <c r="B35" s="12" t="s">
        <v>64</v>
      </c>
      <c r="C35" s="12" t="s">
        <v>40</v>
      </c>
      <c r="D35" s="12" t="s">
        <v>41</v>
      </c>
      <c r="E35" s="12" t="s">
        <v>68</v>
      </c>
      <c r="F35" s="13">
        <f t="shared" si="4"/>
        <v>233.33333333333334</v>
      </c>
      <c r="G35" s="13">
        <v>3500</v>
      </c>
      <c r="H35" s="13">
        <f t="shared" si="0"/>
        <v>7000</v>
      </c>
      <c r="I35" s="14">
        <v>11</v>
      </c>
      <c r="J35" s="14"/>
      <c r="K35" s="15"/>
      <c r="L35" s="15">
        <v>100</v>
      </c>
      <c r="M35" s="15"/>
      <c r="N35" s="15">
        <v>135</v>
      </c>
      <c r="O35" s="78">
        <f t="shared" si="3"/>
        <v>2331.666666666667</v>
      </c>
      <c r="P35" s="16"/>
      <c r="Q35" s="16">
        <f t="shared" si="1"/>
        <v>2331.666666666667</v>
      </c>
      <c r="R35" s="12"/>
      <c r="S35" s="17"/>
    </row>
    <row r="36" spans="1:19" s="10" customFormat="1" ht="15.75" customHeight="1" thickBot="1" x14ac:dyDescent="0.3">
      <c r="A36" s="22">
        <v>30</v>
      </c>
      <c r="B36" s="23" t="s">
        <v>69</v>
      </c>
      <c r="C36" s="23" t="s">
        <v>40</v>
      </c>
      <c r="D36" s="23" t="s">
        <v>70</v>
      </c>
      <c r="E36" s="23" t="s">
        <v>71</v>
      </c>
      <c r="F36" s="24">
        <f t="shared" si="4"/>
        <v>266.66666666666669</v>
      </c>
      <c r="G36" s="24">
        <v>4000</v>
      </c>
      <c r="H36" s="24">
        <f t="shared" si="0"/>
        <v>8000</v>
      </c>
      <c r="I36" s="25">
        <v>15</v>
      </c>
      <c r="J36" s="25"/>
      <c r="K36" s="108">
        <f>1000+659</f>
        <v>1659</v>
      </c>
      <c r="L36" s="26">
        <v>250</v>
      </c>
      <c r="M36" s="26"/>
      <c r="N36" s="26"/>
      <c r="O36" s="79">
        <f t="shared" si="3"/>
        <v>2091.0000000000005</v>
      </c>
      <c r="P36" s="27"/>
      <c r="Q36" s="27">
        <f t="shared" si="1"/>
        <v>2091.0000000000005</v>
      </c>
      <c r="R36" s="32">
        <f>SUM(Q32:Q36)</f>
        <v>11702.666666666668</v>
      </c>
      <c r="S36" s="28"/>
    </row>
    <row r="37" spans="1:19" s="10" customFormat="1" ht="15.75" customHeight="1" x14ac:dyDescent="0.25">
      <c r="A37" s="3">
        <v>31</v>
      </c>
      <c r="B37" s="4" t="s">
        <v>72</v>
      </c>
      <c r="C37" s="4" t="s">
        <v>20</v>
      </c>
      <c r="D37" s="4" t="s">
        <v>46</v>
      </c>
      <c r="E37" s="4" t="s">
        <v>124</v>
      </c>
      <c r="F37" s="5">
        <f t="shared" si="4"/>
        <v>333.33333333333331</v>
      </c>
      <c r="G37" s="5">
        <v>5000</v>
      </c>
      <c r="H37" s="5">
        <f t="shared" si="0"/>
        <v>10000</v>
      </c>
      <c r="I37" s="6">
        <v>15</v>
      </c>
      <c r="J37" s="6"/>
      <c r="K37" s="7"/>
      <c r="L37" s="7"/>
      <c r="M37" s="7">
        <f>100+50</f>
        <v>150</v>
      </c>
      <c r="N37" s="7"/>
      <c r="O37" s="80">
        <f t="shared" si="3"/>
        <v>4850</v>
      </c>
      <c r="P37" s="8"/>
      <c r="Q37" s="8">
        <f t="shared" si="1"/>
        <v>4850</v>
      </c>
      <c r="R37" s="4"/>
      <c r="S37" s="9"/>
    </row>
    <row r="38" spans="1:19" s="10" customFormat="1" ht="15.75" customHeight="1" x14ac:dyDescent="0.25">
      <c r="A38" s="11">
        <v>32</v>
      </c>
      <c r="B38" s="12" t="s">
        <v>72</v>
      </c>
      <c r="C38" s="12" t="s">
        <v>40</v>
      </c>
      <c r="D38" s="12"/>
      <c r="E38" s="12" t="s">
        <v>135</v>
      </c>
      <c r="F38" s="13">
        <f t="shared" si="4"/>
        <v>200</v>
      </c>
      <c r="G38" s="13">
        <v>3000</v>
      </c>
      <c r="H38" s="13">
        <f t="shared" si="0"/>
        <v>6000</v>
      </c>
      <c r="I38" s="14">
        <v>4</v>
      </c>
      <c r="J38" s="14"/>
      <c r="K38" s="15"/>
      <c r="L38" s="15"/>
      <c r="M38" s="15"/>
      <c r="N38" s="15"/>
      <c r="O38" s="78">
        <f t="shared" si="3"/>
        <v>800</v>
      </c>
      <c r="P38" s="16"/>
      <c r="Q38" s="16">
        <f t="shared" si="1"/>
        <v>800</v>
      </c>
      <c r="R38" s="12"/>
      <c r="S38" s="17"/>
    </row>
    <row r="39" spans="1:19" s="10" customFormat="1" ht="15.75" customHeight="1" x14ac:dyDescent="0.25">
      <c r="A39" s="11">
        <v>33</v>
      </c>
      <c r="B39" s="12" t="s">
        <v>72</v>
      </c>
      <c r="C39" s="12" t="s">
        <v>40</v>
      </c>
      <c r="D39" s="12" t="s">
        <v>90</v>
      </c>
      <c r="E39" s="12" t="s">
        <v>104</v>
      </c>
      <c r="F39" s="13">
        <f>G39/15</f>
        <v>200</v>
      </c>
      <c r="G39" s="13">
        <v>3000</v>
      </c>
      <c r="H39" s="13">
        <f t="shared" ref="H39:H67" si="5">G39*2</f>
        <v>6000</v>
      </c>
      <c r="I39" s="14">
        <v>14</v>
      </c>
      <c r="J39" s="14">
        <v>1</v>
      </c>
      <c r="K39" s="18">
        <v>1000</v>
      </c>
      <c r="L39" s="15"/>
      <c r="M39" s="15">
        <v>50</v>
      </c>
      <c r="N39" s="15"/>
      <c r="O39" s="78">
        <f>Q39-P39</f>
        <v>1750</v>
      </c>
      <c r="P39" s="16"/>
      <c r="Q39" s="16">
        <f t="shared" ref="Q39:Q67" si="6">(I39*F39)-(K39+L39+M39+N39)</f>
        <v>1750</v>
      </c>
      <c r="R39" s="12"/>
      <c r="S39" s="17"/>
    </row>
    <row r="40" spans="1:19" s="10" customFormat="1" ht="16.5" customHeight="1" x14ac:dyDescent="0.25">
      <c r="A40" s="11">
        <v>34</v>
      </c>
      <c r="B40" s="12" t="s">
        <v>72</v>
      </c>
      <c r="C40" s="12" t="s">
        <v>40</v>
      </c>
      <c r="D40" s="12"/>
      <c r="E40" s="12" t="s">
        <v>125</v>
      </c>
      <c r="F40" s="13">
        <f t="shared" si="4"/>
        <v>200</v>
      </c>
      <c r="G40" s="13">
        <v>3000</v>
      </c>
      <c r="H40" s="13">
        <f t="shared" si="5"/>
        <v>6000</v>
      </c>
      <c r="I40" s="14">
        <v>15</v>
      </c>
      <c r="J40" s="14"/>
      <c r="K40" s="15"/>
      <c r="L40" s="20">
        <v>250</v>
      </c>
      <c r="M40" s="15">
        <v>100</v>
      </c>
      <c r="N40" s="15"/>
      <c r="O40" s="78">
        <f t="shared" si="3"/>
        <v>2650</v>
      </c>
      <c r="P40" s="16"/>
      <c r="Q40" s="16">
        <f t="shared" si="6"/>
        <v>2650</v>
      </c>
      <c r="R40" s="12"/>
      <c r="S40" s="17"/>
    </row>
    <row r="41" spans="1:19" s="10" customFormat="1" ht="15.75" customHeight="1" x14ac:dyDescent="0.25">
      <c r="A41" s="11">
        <v>35</v>
      </c>
      <c r="B41" s="12" t="s">
        <v>72</v>
      </c>
      <c r="C41" s="12" t="s">
        <v>40</v>
      </c>
      <c r="D41" s="12" t="s">
        <v>66</v>
      </c>
      <c r="E41" s="12" t="s">
        <v>110</v>
      </c>
      <c r="F41" s="13">
        <f>G41/15</f>
        <v>200</v>
      </c>
      <c r="G41" s="13">
        <v>3000</v>
      </c>
      <c r="H41" s="13">
        <f t="shared" si="5"/>
        <v>6000</v>
      </c>
      <c r="I41" s="14">
        <v>5</v>
      </c>
      <c r="J41" s="14"/>
      <c r="K41" s="15"/>
      <c r="L41" s="15"/>
      <c r="M41" s="15"/>
      <c r="N41" s="15"/>
      <c r="O41" s="78">
        <f t="shared" si="3"/>
        <v>1000</v>
      </c>
      <c r="P41" s="16"/>
      <c r="Q41" s="16">
        <f t="shared" si="6"/>
        <v>1000</v>
      </c>
      <c r="R41" s="12"/>
      <c r="S41" s="17"/>
    </row>
    <row r="42" spans="1:19" s="10" customFormat="1" ht="15.75" customHeight="1" x14ac:dyDescent="0.25">
      <c r="A42" s="11">
        <v>36</v>
      </c>
      <c r="B42" s="12" t="s">
        <v>72</v>
      </c>
      <c r="C42" s="12" t="s">
        <v>40</v>
      </c>
      <c r="D42" s="12"/>
      <c r="E42" s="60" t="s">
        <v>138</v>
      </c>
      <c r="F42" s="13">
        <f>G42/15</f>
        <v>200</v>
      </c>
      <c r="G42" s="13">
        <v>3000</v>
      </c>
      <c r="H42" s="13">
        <f t="shared" si="5"/>
        <v>6000</v>
      </c>
      <c r="I42" s="14">
        <v>10</v>
      </c>
      <c r="J42" s="14">
        <v>1</v>
      </c>
      <c r="K42" s="15"/>
      <c r="L42" s="15">
        <v>300</v>
      </c>
      <c r="M42" s="15"/>
      <c r="N42" s="15"/>
      <c r="O42" s="78">
        <f t="shared" si="3"/>
        <v>1700</v>
      </c>
      <c r="P42" s="16"/>
      <c r="Q42" s="16">
        <f t="shared" si="6"/>
        <v>1700</v>
      </c>
      <c r="R42" s="12"/>
      <c r="S42" s="17"/>
    </row>
    <row r="43" spans="1:19" s="10" customFormat="1" ht="15.75" customHeight="1" x14ac:dyDescent="0.25">
      <c r="A43" s="11">
        <v>37</v>
      </c>
      <c r="B43" s="12" t="s">
        <v>72</v>
      </c>
      <c r="C43" s="12" t="s">
        <v>40</v>
      </c>
      <c r="D43" s="12" t="s">
        <v>41</v>
      </c>
      <c r="E43" s="12" t="s">
        <v>78</v>
      </c>
      <c r="F43" s="13">
        <f t="shared" si="4"/>
        <v>200</v>
      </c>
      <c r="G43" s="13">
        <v>3000</v>
      </c>
      <c r="H43" s="13">
        <f t="shared" si="5"/>
        <v>6000</v>
      </c>
      <c r="I43" s="14">
        <v>15</v>
      </c>
      <c r="J43" s="14"/>
      <c r="K43" s="15"/>
      <c r="L43" s="15">
        <v>50</v>
      </c>
      <c r="M43" s="15"/>
      <c r="N43" s="15">
        <v>135</v>
      </c>
      <c r="O43" s="78">
        <f t="shared" si="3"/>
        <v>2815</v>
      </c>
      <c r="P43" s="16"/>
      <c r="Q43" s="16">
        <f t="shared" si="6"/>
        <v>2815</v>
      </c>
      <c r="R43" s="12"/>
      <c r="S43" s="17"/>
    </row>
    <row r="44" spans="1:19" s="10" customFormat="1" ht="15.75" customHeight="1" thickBot="1" x14ac:dyDescent="0.3">
      <c r="A44" s="22">
        <v>38</v>
      </c>
      <c r="B44" s="23" t="s">
        <v>72</v>
      </c>
      <c r="C44" s="23" t="s">
        <v>121</v>
      </c>
      <c r="D44" s="23" t="s">
        <v>80</v>
      </c>
      <c r="E44" s="33" t="s">
        <v>81</v>
      </c>
      <c r="F44" s="24">
        <f t="shared" si="4"/>
        <v>233.33333333333334</v>
      </c>
      <c r="G44" s="24">
        <v>3500</v>
      </c>
      <c r="H44" s="24">
        <f t="shared" si="5"/>
        <v>7000</v>
      </c>
      <c r="I44" s="25">
        <v>15</v>
      </c>
      <c r="J44" s="25"/>
      <c r="K44" s="26"/>
      <c r="L44" s="26"/>
      <c r="M44" s="26"/>
      <c r="N44" s="26"/>
      <c r="O44" s="79">
        <f t="shared" si="3"/>
        <v>3500</v>
      </c>
      <c r="P44" s="27"/>
      <c r="Q44" s="27">
        <f t="shared" si="6"/>
        <v>3500</v>
      </c>
      <c r="R44" s="30">
        <f>SUM(Q37:Q44)</f>
        <v>19065</v>
      </c>
      <c r="S44" s="28"/>
    </row>
    <row r="45" spans="1:19" s="10" customFormat="1" ht="15.75" customHeight="1" x14ac:dyDescent="0.25">
      <c r="A45" s="3">
        <v>39</v>
      </c>
      <c r="B45" s="4" t="s">
        <v>82</v>
      </c>
      <c r="C45" s="4" t="s">
        <v>65</v>
      </c>
      <c r="D45" s="4" t="s">
        <v>83</v>
      </c>
      <c r="E45" s="34" t="s">
        <v>133</v>
      </c>
      <c r="F45" s="5">
        <f t="shared" si="4"/>
        <v>166.66666666666666</v>
      </c>
      <c r="G45" s="5">
        <v>2500</v>
      </c>
      <c r="H45" s="5">
        <f t="shared" si="5"/>
        <v>5000</v>
      </c>
      <c r="I45" s="6">
        <v>4</v>
      </c>
      <c r="J45" s="6"/>
      <c r="K45" s="7"/>
      <c r="L45" s="7"/>
      <c r="M45" s="7"/>
      <c r="N45" s="7"/>
      <c r="O45" s="80">
        <f t="shared" si="3"/>
        <v>666.66666666666663</v>
      </c>
      <c r="P45" s="8"/>
      <c r="Q45" s="8">
        <f t="shared" si="6"/>
        <v>666.66666666666663</v>
      </c>
      <c r="R45" s="4"/>
      <c r="S45" s="9"/>
    </row>
    <row r="46" spans="1:19" s="10" customFormat="1" ht="15.75" customHeight="1" x14ac:dyDescent="0.25">
      <c r="A46" s="11">
        <v>40</v>
      </c>
      <c r="B46" s="12" t="s">
        <v>82</v>
      </c>
      <c r="C46" s="12" t="s">
        <v>65</v>
      </c>
      <c r="D46" s="12"/>
      <c r="E46" s="35" t="s">
        <v>127</v>
      </c>
      <c r="F46" s="13">
        <f t="shared" si="4"/>
        <v>166.66666666666666</v>
      </c>
      <c r="G46" s="13">
        <v>2500</v>
      </c>
      <c r="H46" s="13">
        <f t="shared" si="5"/>
        <v>5000</v>
      </c>
      <c r="I46" s="14">
        <v>15</v>
      </c>
      <c r="J46" s="14"/>
      <c r="K46" s="15"/>
      <c r="L46" s="15"/>
      <c r="M46" s="15"/>
      <c r="N46" s="15">
        <v>135</v>
      </c>
      <c r="O46" s="78">
        <f t="shared" si="3"/>
        <v>2365</v>
      </c>
      <c r="P46" s="16"/>
      <c r="Q46" s="16">
        <f t="shared" si="6"/>
        <v>2365</v>
      </c>
      <c r="R46" s="12"/>
      <c r="S46" s="17"/>
    </row>
    <row r="47" spans="1:19" s="10" customFormat="1" ht="15.75" customHeight="1" x14ac:dyDescent="0.25">
      <c r="A47" s="11">
        <v>41</v>
      </c>
      <c r="B47" s="12" t="s">
        <v>82</v>
      </c>
      <c r="C47" s="12" t="s">
        <v>79</v>
      </c>
      <c r="D47" s="12" t="s">
        <v>85</v>
      </c>
      <c r="E47" s="35" t="s">
        <v>86</v>
      </c>
      <c r="F47" s="13">
        <f t="shared" si="4"/>
        <v>200</v>
      </c>
      <c r="G47" s="13">
        <v>3000</v>
      </c>
      <c r="H47" s="13">
        <f t="shared" si="5"/>
        <v>6000</v>
      </c>
      <c r="I47" s="14">
        <v>15</v>
      </c>
      <c r="J47" s="14"/>
      <c r="K47" s="15"/>
      <c r="L47" s="15"/>
      <c r="M47" s="15"/>
      <c r="N47" s="15">
        <v>135</v>
      </c>
      <c r="O47" s="78">
        <f t="shared" si="3"/>
        <v>2865</v>
      </c>
      <c r="P47" s="16"/>
      <c r="Q47" s="16">
        <f t="shared" si="6"/>
        <v>2865</v>
      </c>
      <c r="R47" s="12"/>
      <c r="S47" s="17"/>
    </row>
    <row r="48" spans="1:19" s="10" customFormat="1" ht="15.75" customHeight="1" thickBot="1" x14ac:dyDescent="0.3">
      <c r="A48" s="36">
        <v>42</v>
      </c>
      <c r="B48" s="12" t="s">
        <v>82</v>
      </c>
      <c r="C48" s="37" t="s">
        <v>79</v>
      </c>
      <c r="D48" s="37" t="s">
        <v>85</v>
      </c>
      <c r="E48" s="57" t="s">
        <v>111</v>
      </c>
      <c r="F48" s="38">
        <f>G48/15</f>
        <v>200</v>
      </c>
      <c r="G48" s="38">
        <v>3000</v>
      </c>
      <c r="H48" s="38">
        <f t="shared" si="5"/>
        <v>6000</v>
      </c>
      <c r="I48" s="39">
        <v>15</v>
      </c>
      <c r="J48" s="39"/>
      <c r="K48" s="40"/>
      <c r="L48" s="40">
        <v>50</v>
      </c>
      <c r="M48" s="40"/>
      <c r="N48" s="40">
        <v>135</v>
      </c>
      <c r="O48" s="81">
        <f>Q48-P48</f>
        <v>2815</v>
      </c>
      <c r="P48" s="41"/>
      <c r="Q48" s="41">
        <f t="shared" si="6"/>
        <v>2815</v>
      </c>
      <c r="R48" s="77">
        <f>SUM(Q45:Q48)</f>
        <v>8711.6666666666661</v>
      </c>
      <c r="S48" s="42"/>
    </row>
    <row r="49" spans="1:19" s="10" customFormat="1" ht="15.75" customHeight="1" x14ac:dyDescent="0.25">
      <c r="A49" s="3">
        <v>43</v>
      </c>
      <c r="B49" s="4" t="s">
        <v>88</v>
      </c>
      <c r="C49" s="4" t="s">
        <v>20</v>
      </c>
      <c r="D49" s="4" t="s">
        <v>90</v>
      </c>
      <c r="E49" s="4" t="s">
        <v>91</v>
      </c>
      <c r="F49" s="5">
        <f t="shared" si="4"/>
        <v>333.33333333333331</v>
      </c>
      <c r="G49" s="5">
        <v>5000</v>
      </c>
      <c r="H49" s="5">
        <f t="shared" si="5"/>
        <v>10000</v>
      </c>
      <c r="I49" s="6">
        <v>15</v>
      </c>
      <c r="J49" s="6"/>
      <c r="K49" s="7"/>
      <c r="L49" s="7"/>
      <c r="M49" s="7">
        <v>50</v>
      </c>
      <c r="N49" s="7"/>
      <c r="O49" s="80">
        <f t="shared" si="3"/>
        <v>4950</v>
      </c>
      <c r="P49" s="8"/>
      <c r="Q49" s="8">
        <f t="shared" si="6"/>
        <v>4950</v>
      </c>
      <c r="R49" s="4"/>
      <c r="S49" s="9"/>
    </row>
    <row r="50" spans="1:19" s="10" customFormat="1" ht="15.75" customHeight="1" x14ac:dyDescent="0.25">
      <c r="A50" s="11">
        <v>44</v>
      </c>
      <c r="B50" s="12" t="s">
        <v>88</v>
      </c>
      <c r="C50" s="12" t="s">
        <v>50</v>
      </c>
      <c r="D50" s="12"/>
      <c r="E50" s="12" t="s">
        <v>114</v>
      </c>
      <c r="F50" s="13">
        <f>G50/15</f>
        <v>166.66666666666666</v>
      </c>
      <c r="G50" s="13">
        <v>2500</v>
      </c>
      <c r="H50" s="13">
        <f t="shared" si="5"/>
        <v>5000</v>
      </c>
      <c r="I50" s="14">
        <v>15</v>
      </c>
      <c r="J50" s="14"/>
      <c r="K50" s="20"/>
      <c r="L50" s="15"/>
      <c r="M50" s="15"/>
      <c r="N50" s="15"/>
      <c r="O50" s="78">
        <f>Q50-P50</f>
        <v>2500</v>
      </c>
      <c r="P50" s="16"/>
      <c r="Q50" s="16">
        <f t="shared" si="6"/>
        <v>2500</v>
      </c>
      <c r="R50" s="31"/>
      <c r="S50" s="17"/>
    </row>
    <row r="51" spans="1:19" s="10" customFormat="1" ht="15.75" customHeight="1" x14ac:dyDescent="0.25">
      <c r="A51" s="11">
        <v>45</v>
      </c>
      <c r="B51" s="12" t="s">
        <v>88</v>
      </c>
      <c r="C51" s="12" t="s">
        <v>40</v>
      </c>
      <c r="D51" s="12"/>
      <c r="E51" s="12" t="s">
        <v>115</v>
      </c>
      <c r="F51" s="13">
        <f>G51/15</f>
        <v>200</v>
      </c>
      <c r="G51" s="13">
        <v>3000</v>
      </c>
      <c r="H51" s="13">
        <f t="shared" si="5"/>
        <v>6000</v>
      </c>
      <c r="I51" s="14">
        <v>15</v>
      </c>
      <c r="J51" s="14"/>
      <c r="K51" s="20"/>
      <c r="L51" s="15"/>
      <c r="M51" s="15"/>
      <c r="N51" s="15">
        <v>135</v>
      </c>
      <c r="O51" s="78">
        <f>Q51-P51</f>
        <v>2865</v>
      </c>
      <c r="P51" s="16"/>
      <c r="Q51" s="16">
        <f t="shared" si="6"/>
        <v>2865</v>
      </c>
      <c r="R51" s="12"/>
      <c r="S51" s="17"/>
    </row>
    <row r="52" spans="1:19" s="10" customFormat="1" ht="15.75" customHeight="1" x14ac:dyDescent="0.25">
      <c r="A52" s="11">
        <v>46</v>
      </c>
      <c r="B52" s="12" t="s">
        <v>88</v>
      </c>
      <c r="C52" s="12" t="s">
        <v>40</v>
      </c>
      <c r="D52" s="12" t="s">
        <v>94</v>
      </c>
      <c r="E52" s="12" t="s">
        <v>95</v>
      </c>
      <c r="F52" s="13">
        <f t="shared" si="4"/>
        <v>233.33333333333334</v>
      </c>
      <c r="G52" s="13">
        <v>3500</v>
      </c>
      <c r="H52" s="13">
        <f t="shared" si="5"/>
        <v>7000</v>
      </c>
      <c r="I52" s="14">
        <v>14</v>
      </c>
      <c r="J52" s="14"/>
      <c r="K52" s="20"/>
      <c r="L52" s="15"/>
      <c r="M52" s="15"/>
      <c r="N52" s="15">
        <v>135</v>
      </c>
      <c r="O52" s="78">
        <f t="shared" si="3"/>
        <v>3131.666666666667</v>
      </c>
      <c r="P52" s="45"/>
      <c r="Q52" s="16">
        <f t="shared" si="6"/>
        <v>3131.666666666667</v>
      </c>
      <c r="R52" s="12"/>
      <c r="S52" s="17"/>
    </row>
    <row r="53" spans="1:19" s="10" customFormat="1" ht="15.75" customHeight="1" thickBot="1" x14ac:dyDescent="0.3">
      <c r="A53" s="22">
        <v>47</v>
      </c>
      <c r="B53" s="29" t="s">
        <v>88</v>
      </c>
      <c r="C53" s="29" t="s">
        <v>79</v>
      </c>
      <c r="D53" s="29" t="s">
        <v>80</v>
      </c>
      <c r="E53" s="29" t="s">
        <v>96</v>
      </c>
      <c r="F53" s="24">
        <f t="shared" si="4"/>
        <v>233.33333333333334</v>
      </c>
      <c r="G53" s="24">
        <v>3500</v>
      </c>
      <c r="H53" s="24">
        <f t="shared" si="5"/>
        <v>7000</v>
      </c>
      <c r="I53" s="25">
        <v>15</v>
      </c>
      <c r="J53" s="25"/>
      <c r="K53" s="26"/>
      <c r="L53" s="26"/>
      <c r="M53" s="26"/>
      <c r="N53" s="26"/>
      <c r="O53" s="79">
        <f t="shared" si="3"/>
        <v>3500</v>
      </c>
      <c r="P53" s="27"/>
      <c r="Q53" s="27">
        <f t="shared" si="6"/>
        <v>3500</v>
      </c>
      <c r="R53" s="46">
        <f>SUM(Q49:Q53)</f>
        <v>16946.666666666668</v>
      </c>
      <c r="S53" s="28"/>
    </row>
    <row r="54" spans="1:19" s="10" customFormat="1" ht="15.75" customHeight="1" thickBot="1" x14ac:dyDescent="0.3">
      <c r="A54" s="3">
        <v>48</v>
      </c>
      <c r="B54" s="4" t="s">
        <v>97</v>
      </c>
      <c r="C54" s="4" t="s">
        <v>50</v>
      </c>
      <c r="D54" s="4" t="s">
        <v>51</v>
      </c>
      <c r="E54" s="4" t="s">
        <v>98</v>
      </c>
      <c r="F54" s="5">
        <f t="shared" si="4"/>
        <v>266.66666666666669</v>
      </c>
      <c r="G54" s="5">
        <v>4000</v>
      </c>
      <c r="H54" s="5">
        <f t="shared" si="5"/>
        <v>8000</v>
      </c>
      <c r="I54" s="6">
        <v>15</v>
      </c>
      <c r="J54" s="6"/>
      <c r="K54" s="7"/>
      <c r="L54" s="7"/>
      <c r="M54" s="7">
        <v>500</v>
      </c>
      <c r="N54" s="7">
        <v>200</v>
      </c>
      <c r="O54" s="80">
        <f t="shared" si="3"/>
        <v>3300.0000000000005</v>
      </c>
      <c r="P54" s="8"/>
      <c r="Q54" s="8">
        <f t="shared" si="6"/>
        <v>3300.0000000000005</v>
      </c>
      <c r="R54" s="4"/>
      <c r="S54" s="9"/>
    </row>
    <row r="55" spans="1:19" s="10" customFormat="1" ht="15.75" customHeight="1" x14ac:dyDescent="0.25">
      <c r="A55" s="241"/>
      <c r="B55" s="242" t="s">
        <v>97</v>
      </c>
      <c r="C55" s="242"/>
      <c r="D55" s="242"/>
      <c r="E55" s="242" t="s">
        <v>148</v>
      </c>
      <c r="F55" s="243">
        <f t="shared" si="4"/>
        <v>166.66666666666666</v>
      </c>
      <c r="G55" s="243">
        <v>2500</v>
      </c>
      <c r="H55" s="243">
        <f t="shared" si="5"/>
        <v>5000</v>
      </c>
      <c r="I55" s="244">
        <v>12</v>
      </c>
      <c r="J55" s="244"/>
      <c r="K55" s="245"/>
      <c r="L55" s="245"/>
      <c r="M55" s="245"/>
      <c r="N55" s="245"/>
      <c r="O55" s="80">
        <f t="shared" si="3"/>
        <v>2000</v>
      </c>
      <c r="P55" s="246"/>
      <c r="Q55" s="8">
        <f t="shared" si="6"/>
        <v>2000</v>
      </c>
      <c r="R55" s="242"/>
      <c r="S55" s="247"/>
    </row>
    <row r="56" spans="1:19" s="10" customFormat="1" ht="15.75" customHeight="1" thickBot="1" x14ac:dyDescent="0.3">
      <c r="A56" s="22">
        <v>49</v>
      </c>
      <c r="B56" s="23" t="s">
        <v>97</v>
      </c>
      <c r="C56" s="23" t="s">
        <v>40</v>
      </c>
      <c r="D56" s="23" t="s">
        <v>66</v>
      </c>
      <c r="E56" s="23" t="s">
        <v>142</v>
      </c>
      <c r="F56" s="24">
        <f>G56/15</f>
        <v>200</v>
      </c>
      <c r="G56" s="24">
        <v>3000</v>
      </c>
      <c r="H56" s="24">
        <f t="shared" si="5"/>
        <v>6000</v>
      </c>
      <c r="I56" s="25">
        <v>15</v>
      </c>
      <c r="J56" s="25"/>
      <c r="K56" s="26"/>
      <c r="L56" s="26">
        <v>50</v>
      </c>
      <c r="M56" s="26"/>
      <c r="N56" s="26"/>
      <c r="O56" s="79">
        <f>Q56-P56</f>
        <v>2950</v>
      </c>
      <c r="P56" s="27"/>
      <c r="Q56" s="27">
        <f t="shared" si="6"/>
        <v>2950</v>
      </c>
      <c r="R56" s="46">
        <f>SUM(Q54:Q56)</f>
        <v>8250</v>
      </c>
      <c r="S56" s="28"/>
    </row>
    <row r="57" spans="1:19" s="10" customFormat="1" ht="15.75" customHeight="1" x14ac:dyDescent="0.25">
      <c r="A57" s="3">
        <v>50</v>
      </c>
      <c r="B57" s="4" t="s">
        <v>100</v>
      </c>
      <c r="C57" s="4" t="s">
        <v>20</v>
      </c>
      <c r="D57" s="4"/>
      <c r="E57" s="4" t="s">
        <v>73</v>
      </c>
      <c r="F57" s="5">
        <f>G57/15</f>
        <v>266.66666666666669</v>
      </c>
      <c r="G57" s="5">
        <v>4000</v>
      </c>
      <c r="H57" s="5">
        <f t="shared" si="5"/>
        <v>8000</v>
      </c>
      <c r="I57" s="6">
        <v>12</v>
      </c>
      <c r="J57" s="6"/>
      <c r="K57" s="7"/>
      <c r="L57" s="7">
        <v>50</v>
      </c>
      <c r="M57" s="7"/>
      <c r="N57" s="7"/>
      <c r="O57" s="80">
        <f>Q57-P57</f>
        <v>3150</v>
      </c>
      <c r="P57" s="8"/>
      <c r="Q57" s="8">
        <f t="shared" si="6"/>
        <v>3150</v>
      </c>
      <c r="R57" s="109"/>
      <c r="S57" s="9"/>
    </row>
    <row r="58" spans="1:19" s="10" customFormat="1" ht="15.75" customHeight="1" x14ac:dyDescent="0.25">
      <c r="A58" s="11">
        <v>51</v>
      </c>
      <c r="B58" s="12" t="s">
        <v>100</v>
      </c>
      <c r="C58" s="12" t="s">
        <v>20</v>
      </c>
      <c r="D58" s="12" t="s">
        <v>43</v>
      </c>
      <c r="E58" s="21" t="s">
        <v>44</v>
      </c>
      <c r="F58" s="13">
        <f>G58/15</f>
        <v>200</v>
      </c>
      <c r="G58" s="13">
        <v>3000</v>
      </c>
      <c r="H58" s="13">
        <f t="shared" si="5"/>
        <v>6000</v>
      </c>
      <c r="I58" s="14">
        <v>15</v>
      </c>
      <c r="J58" s="14"/>
      <c r="K58" s="20"/>
      <c r="L58" s="15"/>
      <c r="M58" s="15">
        <f>1000+200</f>
        <v>1200</v>
      </c>
      <c r="N58" s="15"/>
      <c r="O58" s="78">
        <f>Q58-P58</f>
        <v>1800</v>
      </c>
      <c r="P58" s="43"/>
      <c r="Q58" s="16">
        <f t="shared" si="6"/>
        <v>1800</v>
      </c>
      <c r="R58" s="44"/>
      <c r="S58" s="17"/>
    </row>
    <row r="59" spans="1:19" s="10" customFormat="1" ht="15.75" customHeight="1" x14ac:dyDescent="0.25">
      <c r="A59" s="11">
        <v>52</v>
      </c>
      <c r="B59" s="12" t="s">
        <v>100</v>
      </c>
      <c r="C59" s="12" t="s">
        <v>40</v>
      </c>
      <c r="D59" s="12" t="s">
        <v>101</v>
      </c>
      <c r="E59" s="12" t="s">
        <v>102</v>
      </c>
      <c r="F59" s="13">
        <f t="shared" si="4"/>
        <v>200</v>
      </c>
      <c r="G59" s="13">
        <v>3000</v>
      </c>
      <c r="H59" s="13">
        <f t="shared" si="5"/>
        <v>6000</v>
      </c>
      <c r="I59" s="14">
        <v>14</v>
      </c>
      <c r="J59" s="14"/>
      <c r="K59" s="15"/>
      <c r="L59" s="15"/>
      <c r="M59" s="15"/>
      <c r="N59" s="15"/>
      <c r="O59" s="78">
        <f t="shared" ref="O59" si="7">Q59-P59</f>
        <v>2800</v>
      </c>
      <c r="P59" s="16"/>
      <c r="Q59" s="16">
        <f t="shared" si="6"/>
        <v>2800</v>
      </c>
      <c r="R59" s="12"/>
      <c r="S59" s="17"/>
    </row>
    <row r="60" spans="1:19" s="10" customFormat="1" ht="16.5" customHeight="1" x14ac:dyDescent="0.25">
      <c r="A60" s="11">
        <v>53</v>
      </c>
      <c r="B60" s="12" t="s">
        <v>103</v>
      </c>
      <c r="C60" s="12" t="s">
        <v>40</v>
      </c>
      <c r="D60" s="12" t="s">
        <v>74</v>
      </c>
      <c r="E60" s="12" t="s">
        <v>75</v>
      </c>
      <c r="F60" s="13">
        <f>G60/15</f>
        <v>200</v>
      </c>
      <c r="G60" s="13">
        <v>3000</v>
      </c>
      <c r="H60" s="13">
        <f t="shared" si="5"/>
        <v>6000</v>
      </c>
      <c r="I60" s="14">
        <v>15</v>
      </c>
      <c r="J60" s="14"/>
      <c r="K60" s="15"/>
      <c r="L60" s="20"/>
      <c r="M60" s="15"/>
      <c r="N60" s="15">
        <v>135</v>
      </c>
      <c r="O60" s="78">
        <f>Q60-P60</f>
        <v>2865</v>
      </c>
      <c r="P60" s="16"/>
      <c r="Q60" s="16">
        <f t="shared" si="6"/>
        <v>2865</v>
      </c>
      <c r="R60" s="12"/>
      <c r="S60" s="17"/>
    </row>
    <row r="61" spans="1:19" s="10" customFormat="1" ht="15.75" customHeight="1" x14ac:dyDescent="0.25">
      <c r="A61" s="11">
        <v>54</v>
      </c>
      <c r="B61" s="12" t="s">
        <v>100</v>
      </c>
      <c r="C61" s="12" t="s">
        <v>40</v>
      </c>
      <c r="D61" s="12" t="s">
        <v>41</v>
      </c>
      <c r="E61" s="12" t="s">
        <v>105</v>
      </c>
      <c r="F61" s="13">
        <f t="shared" si="4"/>
        <v>266.66666666666669</v>
      </c>
      <c r="G61" s="13">
        <v>4000</v>
      </c>
      <c r="H61" s="13">
        <f t="shared" si="5"/>
        <v>8000</v>
      </c>
      <c r="I61" s="14">
        <v>15</v>
      </c>
      <c r="J61" s="14"/>
      <c r="K61" s="18">
        <v>600</v>
      </c>
      <c r="L61" s="15"/>
      <c r="M61" s="15"/>
      <c r="N61" s="15"/>
      <c r="O61" s="78">
        <f>Q61-P61</f>
        <v>1833.9400000000005</v>
      </c>
      <c r="P61" s="16">
        <v>1566.06</v>
      </c>
      <c r="Q61" s="16">
        <f t="shared" si="6"/>
        <v>3400.0000000000005</v>
      </c>
      <c r="R61" s="12"/>
      <c r="S61" s="17"/>
    </row>
    <row r="62" spans="1:19" s="10" customFormat="1" ht="15.75" customHeight="1" thickBot="1" x14ac:dyDescent="0.3">
      <c r="A62" s="22">
        <v>55</v>
      </c>
      <c r="B62" s="23" t="s">
        <v>103</v>
      </c>
      <c r="C62" s="23" t="s">
        <v>40</v>
      </c>
      <c r="D62" s="23" t="s">
        <v>48</v>
      </c>
      <c r="E62" s="23" t="s">
        <v>106</v>
      </c>
      <c r="F62" s="24">
        <f t="shared" si="4"/>
        <v>266.66666666666669</v>
      </c>
      <c r="G62" s="24">
        <v>4000</v>
      </c>
      <c r="H62" s="24">
        <f t="shared" si="5"/>
        <v>8000</v>
      </c>
      <c r="I62" s="25">
        <v>15</v>
      </c>
      <c r="J62" s="25"/>
      <c r="K62" s="26"/>
      <c r="L62" s="26"/>
      <c r="M62" s="47"/>
      <c r="N62" s="26">
        <v>135</v>
      </c>
      <c r="O62" s="79">
        <f t="shared" si="3"/>
        <v>3865.0000000000005</v>
      </c>
      <c r="P62" s="27"/>
      <c r="Q62" s="27">
        <f t="shared" si="6"/>
        <v>3865.0000000000005</v>
      </c>
      <c r="R62" s="30">
        <f>SUM(Q57:Q62)</f>
        <v>17880</v>
      </c>
      <c r="S62" s="28"/>
    </row>
    <row r="63" spans="1:19" s="10" customFormat="1" ht="15.75" customHeight="1" x14ac:dyDescent="0.25">
      <c r="A63" s="3">
        <v>56</v>
      </c>
      <c r="B63" s="4" t="s">
        <v>107</v>
      </c>
      <c r="C63" s="4" t="s">
        <v>20</v>
      </c>
      <c r="D63" s="4" t="s">
        <v>108</v>
      </c>
      <c r="E63" s="4" t="s">
        <v>109</v>
      </c>
      <c r="F63" s="5">
        <f t="shared" si="4"/>
        <v>400</v>
      </c>
      <c r="G63" s="5">
        <v>6000</v>
      </c>
      <c r="H63" s="5">
        <f t="shared" si="5"/>
        <v>12000</v>
      </c>
      <c r="I63" s="6">
        <v>15</v>
      </c>
      <c r="J63" s="6"/>
      <c r="K63" s="7"/>
      <c r="L63" s="7"/>
      <c r="M63" s="7"/>
      <c r="N63" s="7">
        <v>135</v>
      </c>
      <c r="O63" s="80">
        <f t="shared" si="3"/>
        <v>5865</v>
      </c>
      <c r="P63" s="8"/>
      <c r="Q63" s="8">
        <f t="shared" si="6"/>
        <v>5865</v>
      </c>
      <c r="R63" s="4"/>
      <c r="S63" s="9"/>
    </row>
    <row r="64" spans="1:19" s="10" customFormat="1" ht="15.75" customHeight="1" x14ac:dyDescent="0.25">
      <c r="A64" s="11">
        <v>57</v>
      </c>
      <c r="B64" s="12" t="s">
        <v>107</v>
      </c>
      <c r="C64" s="12" t="s">
        <v>65</v>
      </c>
      <c r="D64" s="12"/>
      <c r="E64" s="12" t="s">
        <v>126</v>
      </c>
      <c r="F64" s="13">
        <f t="shared" si="4"/>
        <v>200</v>
      </c>
      <c r="G64" s="13">
        <v>3000</v>
      </c>
      <c r="H64" s="13">
        <f t="shared" si="5"/>
        <v>6000</v>
      </c>
      <c r="I64" s="14">
        <v>15</v>
      </c>
      <c r="J64" s="14"/>
      <c r="K64" s="15"/>
      <c r="L64" s="15"/>
      <c r="M64" s="15"/>
      <c r="N64" s="15">
        <v>135</v>
      </c>
      <c r="O64" s="78">
        <f t="shared" si="3"/>
        <v>2865</v>
      </c>
      <c r="P64" s="16"/>
      <c r="Q64" s="16">
        <f t="shared" si="6"/>
        <v>2865</v>
      </c>
      <c r="R64" s="12"/>
      <c r="S64" s="17"/>
    </row>
    <row r="65" spans="1:19" s="10" customFormat="1" ht="15.75" customHeight="1" x14ac:dyDescent="0.25">
      <c r="A65" s="11">
        <v>58</v>
      </c>
      <c r="B65" s="12" t="s">
        <v>107</v>
      </c>
      <c r="C65" s="12" t="s">
        <v>79</v>
      </c>
      <c r="D65" s="12"/>
      <c r="E65" s="12" t="s">
        <v>132</v>
      </c>
      <c r="F65" s="13">
        <f t="shared" si="4"/>
        <v>166.66666666666666</v>
      </c>
      <c r="G65" s="13">
        <v>2500</v>
      </c>
      <c r="H65" s="13">
        <f t="shared" si="5"/>
        <v>5000</v>
      </c>
      <c r="I65" s="14">
        <v>16</v>
      </c>
      <c r="J65" s="14"/>
      <c r="K65" s="15"/>
      <c r="L65" s="15"/>
      <c r="M65" s="15"/>
      <c r="N65" s="15"/>
      <c r="O65" s="78">
        <f t="shared" si="3"/>
        <v>2666.6666666666665</v>
      </c>
      <c r="P65" s="16"/>
      <c r="Q65" s="16">
        <f t="shared" si="6"/>
        <v>2666.6666666666665</v>
      </c>
      <c r="R65" s="12"/>
      <c r="S65" s="17"/>
    </row>
    <row r="66" spans="1:19" s="10" customFormat="1" ht="15.75" customHeight="1" x14ac:dyDescent="0.25">
      <c r="A66" s="22">
        <v>59</v>
      </c>
      <c r="B66" s="12" t="s">
        <v>107</v>
      </c>
      <c r="C66" s="23" t="s">
        <v>65</v>
      </c>
      <c r="D66" s="23" t="s">
        <v>66</v>
      </c>
      <c r="E66" s="23" t="s">
        <v>131</v>
      </c>
      <c r="F66" s="24">
        <f>G66/15</f>
        <v>200</v>
      </c>
      <c r="G66" s="24">
        <v>3000</v>
      </c>
      <c r="H66" s="24">
        <f t="shared" si="5"/>
        <v>6000</v>
      </c>
      <c r="I66" s="25">
        <v>9</v>
      </c>
      <c r="J66" s="25"/>
      <c r="K66" s="26"/>
      <c r="L66" s="47"/>
      <c r="M66" s="26"/>
      <c r="N66" s="26">
        <v>135</v>
      </c>
      <c r="O66" s="79">
        <f>Q66-P66</f>
        <v>1665</v>
      </c>
      <c r="P66" s="27"/>
      <c r="Q66" s="27">
        <f t="shared" si="6"/>
        <v>1665</v>
      </c>
      <c r="R66" s="46"/>
      <c r="S66" s="28"/>
    </row>
    <row r="67" spans="1:19" s="10" customFormat="1" ht="15.75" customHeight="1" x14ac:dyDescent="0.25">
      <c r="A67" s="11">
        <v>60</v>
      </c>
      <c r="B67" s="12" t="s">
        <v>107</v>
      </c>
      <c r="C67" s="12" t="s">
        <v>65</v>
      </c>
      <c r="D67" s="12"/>
      <c r="E67" s="12" t="s">
        <v>143</v>
      </c>
      <c r="F67" s="13">
        <f t="shared" si="4"/>
        <v>200</v>
      </c>
      <c r="G67" s="13">
        <v>3000</v>
      </c>
      <c r="H67" s="13">
        <f t="shared" si="5"/>
        <v>6000</v>
      </c>
      <c r="I67" s="14">
        <v>15</v>
      </c>
      <c r="J67" s="14"/>
      <c r="K67" s="15"/>
      <c r="L67" s="15"/>
      <c r="M67" s="15"/>
      <c r="N67" s="15">
        <v>135</v>
      </c>
      <c r="O67" s="78">
        <f t="shared" si="3"/>
        <v>2865</v>
      </c>
      <c r="P67" s="16"/>
      <c r="Q67" s="16">
        <f t="shared" si="6"/>
        <v>2865</v>
      </c>
      <c r="R67" s="44">
        <f>SUM(Q63:Q67)</f>
        <v>15926.666666666666</v>
      </c>
      <c r="S67" s="17"/>
    </row>
    <row r="68" spans="1:19" s="10" customFormat="1" ht="15.75" customHeight="1" x14ac:dyDescent="0.25">
      <c r="A68" s="11">
        <v>61</v>
      </c>
      <c r="B68" s="12" t="s">
        <v>149</v>
      </c>
      <c r="C68" s="12" t="s">
        <v>20</v>
      </c>
      <c r="D68" s="12" t="s">
        <v>46</v>
      </c>
      <c r="E68" s="12" t="s">
        <v>154</v>
      </c>
      <c r="F68" s="13">
        <v>333.33</v>
      </c>
      <c r="G68" s="13">
        <v>5000</v>
      </c>
      <c r="H68" s="13">
        <f t="shared" ref="H68" si="8">G68*2</f>
        <v>10000</v>
      </c>
      <c r="I68" s="14">
        <v>15</v>
      </c>
      <c r="J68" s="14"/>
      <c r="K68" s="15"/>
      <c r="L68" s="252">
        <v>100</v>
      </c>
      <c r="M68" s="15"/>
      <c r="N68" s="15"/>
      <c r="O68" s="78">
        <f t="shared" ref="O68" si="9">Q68-P68</f>
        <v>4899.95</v>
      </c>
      <c r="P68" s="16"/>
      <c r="Q68" s="269">
        <f t="shared" ref="Q68" si="10">(I68*F68)-(K68+L68+M68+N68)</f>
        <v>4899.95</v>
      </c>
      <c r="R68" s="44"/>
      <c r="S68" s="247"/>
    </row>
    <row r="69" spans="1:19" s="10" customFormat="1" ht="15.75" customHeight="1" x14ac:dyDescent="0.25">
      <c r="A69" s="11">
        <v>62</v>
      </c>
      <c r="B69" s="12" t="s">
        <v>149</v>
      </c>
      <c r="C69" s="12" t="s">
        <v>20</v>
      </c>
      <c r="D69" s="12" t="s">
        <v>150</v>
      </c>
      <c r="E69" s="12" t="s">
        <v>155</v>
      </c>
      <c r="F69" s="13">
        <v>166.67</v>
      </c>
      <c r="G69" s="13">
        <v>2500</v>
      </c>
      <c r="H69" s="13">
        <f t="shared" ref="H69:H79" si="11">G69*2</f>
        <v>5000</v>
      </c>
      <c r="I69" s="14">
        <v>15</v>
      </c>
      <c r="J69" s="14"/>
      <c r="K69" s="15"/>
      <c r="L69" s="15"/>
      <c r="M69" s="15"/>
      <c r="N69" s="15"/>
      <c r="O69" s="78">
        <f t="shared" ref="O69:O79" si="12">Q69-P69</f>
        <v>2500.0499999999997</v>
      </c>
      <c r="P69" s="16"/>
      <c r="Q69" s="269">
        <f t="shared" ref="Q69:Q79" si="13">(I69*F69)-(K69+L69+M69+N69)</f>
        <v>2500.0499999999997</v>
      </c>
      <c r="R69" s="44"/>
      <c r="S69" s="247"/>
    </row>
    <row r="70" spans="1:19" s="10" customFormat="1" ht="15.75" customHeight="1" x14ac:dyDescent="0.25">
      <c r="A70" s="11">
        <v>63</v>
      </c>
      <c r="B70" s="12" t="s">
        <v>149</v>
      </c>
      <c r="C70" s="12" t="s">
        <v>40</v>
      </c>
      <c r="D70" s="12" t="s">
        <v>151</v>
      </c>
      <c r="E70" s="12" t="s">
        <v>156</v>
      </c>
      <c r="F70" s="13">
        <f t="shared" ref="F70" si="14">G70/15</f>
        <v>200</v>
      </c>
      <c r="G70" s="13">
        <v>3000</v>
      </c>
      <c r="H70" s="13">
        <f t="shared" si="11"/>
        <v>6000</v>
      </c>
      <c r="I70" s="14">
        <v>15</v>
      </c>
      <c r="J70" s="14"/>
      <c r="K70" s="15"/>
      <c r="L70" s="15">
        <v>50</v>
      </c>
      <c r="M70" s="15"/>
      <c r="N70" s="15"/>
      <c r="O70" s="78">
        <f t="shared" si="12"/>
        <v>2950</v>
      </c>
      <c r="P70" s="16"/>
      <c r="Q70" s="269">
        <f t="shared" si="13"/>
        <v>2950</v>
      </c>
      <c r="R70" s="44"/>
      <c r="S70" s="247"/>
    </row>
    <row r="71" spans="1:19" s="10" customFormat="1" ht="15.75" customHeight="1" x14ac:dyDescent="0.25">
      <c r="A71" s="11">
        <v>64</v>
      </c>
      <c r="B71" s="12" t="s">
        <v>149</v>
      </c>
      <c r="C71" s="12" t="s">
        <v>40</v>
      </c>
      <c r="D71" s="12" t="s">
        <v>151</v>
      </c>
      <c r="E71" s="12" t="s">
        <v>157</v>
      </c>
      <c r="F71" s="13">
        <v>160</v>
      </c>
      <c r="G71" s="13">
        <v>2400</v>
      </c>
      <c r="H71" s="13">
        <f t="shared" si="11"/>
        <v>4800</v>
      </c>
      <c r="I71" s="14">
        <v>15</v>
      </c>
      <c r="J71" s="14"/>
      <c r="K71" s="15"/>
      <c r="L71" s="15"/>
      <c r="M71" s="15"/>
      <c r="N71" s="15">
        <v>135</v>
      </c>
      <c r="O71" s="78">
        <f t="shared" si="12"/>
        <v>2265</v>
      </c>
      <c r="P71" s="16"/>
      <c r="Q71" s="269">
        <f t="shared" si="13"/>
        <v>2265</v>
      </c>
      <c r="R71" s="44"/>
      <c r="S71" s="247"/>
    </row>
    <row r="72" spans="1:19" s="10" customFormat="1" ht="15.75" customHeight="1" x14ac:dyDescent="0.25">
      <c r="A72" s="11">
        <v>65</v>
      </c>
      <c r="B72" s="12" t="s">
        <v>149</v>
      </c>
      <c r="C72" s="12" t="s">
        <v>40</v>
      </c>
      <c r="D72" s="12" t="s">
        <v>152</v>
      </c>
      <c r="E72" s="12" t="s">
        <v>158</v>
      </c>
      <c r="F72" s="13">
        <v>173.33</v>
      </c>
      <c r="G72" s="13">
        <v>2600</v>
      </c>
      <c r="H72" s="13">
        <f t="shared" si="11"/>
        <v>5200</v>
      </c>
      <c r="I72" s="14">
        <v>15</v>
      </c>
      <c r="J72" s="14"/>
      <c r="K72" s="15"/>
      <c r="L72" s="15">
        <v>526.70000000000005</v>
      </c>
      <c r="M72" s="15"/>
      <c r="N72" s="15"/>
      <c r="O72" s="78">
        <f t="shared" si="12"/>
        <v>2073.25</v>
      </c>
      <c r="P72" s="16"/>
      <c r="Q72" s="269">
        <f t="shared" si="13"/>
        <v>2073.25</v>
      </c>
      <c r="R72" s="44"/>
      <c r="S72" s="247"/>
    </row>
    <row r="73" spans="1:19" s="10" customFormat="1" ht="15.75" customHeight="1" x14ac:dyDescent="0.25">
      <c r="A73" s="11">
        <v>66</v>
      </c>
      <c r="B73" s="12" t="s">
        <v>149</v>
      </c>
      <c r="C73" s="12" t="s">
        <v>20</v>
      </c>
      <c r="D73" s="12" t="s">
        <v>153</v>
      </c>
      <c r="E73" s="12" t="s">
        <v>159</v>
      </c>
      <c r="F73" s="13">
        <v>183.33</v>
      </c>
      <c r="G73" s="13">
        <v>2750</v>
      </c>
      <c r="H73" s="13">
        <f t="shared" si="11"/>
        <v>5500</v>
      </c>
      <c r="I73" s="14">
        <v>15</v>
      </c>
      <c r="J73" s="14"/>
      <c r="K73" s="15"/>
      <c r="L73" s="15">
        <v>50</v>
      </c>
      <c r="M73" s="15"/>
      <c r="N73" s="15"/>
      <c r="O73" s="78">
        <f t="shared" si="12"/>
        <v>2699.9500000000003</v>
      </c>
      <c r="P73" s="16"/>
      <c r="Q73" s="269">
        <f t="shared" si="13"/>
        <v>2699.9500000000003</v>
      </c>
      <c r="R73" s="44">
        <f>+SUM(Q68:Q73)</f>
        <v>17388.2</v>
      </c>
      <c r="S73" s="247"/>
    </row>
    <row r="74" spans="1:19" s="10" customFormat="1" ht="15.75" customHeight="1" x14ac:dyDescent="0.25">
      <c r="A74" s="11">
        <v>67</v>
      </c>
      <c r="B74" s="12" t="s">
        <v>160</v>
      </c>
      <c r="C74" s="12" t="s">
        <v>20</v>
      </c>
      <c r="D74" s="12" t="s">
        <v>46</v>
      </c>
      <c r="E74" s="12" t="s">
        <v>163</v>
      </c>
      <c r="F74" s="13">
        <v>333.33</v>
      </c>
      <c r="G74" s="13">
        <v>5000</v>
      </c>
      <c r="H74" s="13">
        <f t="shared" si="11"/>
        <v>10000</v>
      </c>
      <c r="I74" s="14">
        <v>15</v>
      </c>
      <c r="J74" s="14"/>
      <c r="K74" s="15"/>
      <c r="L74" s="15"/>
      <c r="M74" s="15"/>
      <c r="N74" s="15"/>
      <c r="O74" s="78">
        <f t="shared" si="12"/>
        <v>4999.95</v>
      </c>
      <c r="P74" s="16"/>
      <c r="Q74" s="269">
        <f t="shared" si="13"/>
        <v>4999.95</v>
      </c>
      <c r="R74" s="44"/>
      <c r="S74" s="247"/>
    </row>
    <row r="75" spans="1:19" s="10" customFormat="1" ht="15.75" customHeight="1" x14ac:dyDescent="0.25">
      <c r="A75" s="11">
        <v>68</v>
      </c>
      <c r="B75" s="12" t="s">
        <v>160</v>
      </c>
      <c r="C75" s="12" t="s">
        <v>40</v>
      </c>
      <c r="D75" s="12" t="s">
        <v>161</v>
      </c>
      <c r="E75" s="12" t="s">
        <v>164</v>
      </c>
      <c r="F75" s="13">
        <v>200</v>
      </c>
      <c r="G75" s="13">
        <v>3000</v>
      </c>
      <c r="H75" s="13">
        <f t="shared" si="11"/>
        <v>6000</v>
      </c>
      <c r="I75" s="14">
        <v>15</v>
      </c>
      <c r="J75" s="14"/>
      <c r="K75" s="15"/>
      <c r="L75" s="15"/>
      <c r="M75" s="15"/>
      <c r="N75" s="15">
        <v>535</v>
      </c>
      <c r="O75" s="78">
        <f t="shared" si="12"/>
        <v>2465</v>
      </c>
      <c r="P75" s="16"/>
      <c r="Q75" s="269">
        <f t="shared" si="13"/>
        <v>2465</v>
      </c>
      <c r="R75" s="44"/>
      <c r="S75" s="247"/>
    </row>
    <row r="76" spans="1:19" s="10" customFormat="1" ht="15.75" customHeight="1" x14ac:dyDescent="0.25">
      <c r="A76" s="11">
        <v>69</v>
      </c>
      <c r="B76" s="12" t="s">
        <v>160</v>
      </c>
      <c r="C76" s="12" t="s">
        <v>40</v>
      </c>
      <c r="D76" s="12" t="s">
        <v>151</v>
      </c>
      <c r="E76" s="12" t="s">
        <v>165</v>
      </c>
      <c r="F76" s="13">
        <v>160</v>
      </c>
      <c r="G76" s="13">
        <v>2400</v>
      </c>
      <c r="H76" s="13">
        <f t="shared" si="11"/>
        <v>4800</v>
      </c>
      <c r="I76" s="14">
        <v>15</v>
      </c>
      <c r="J76" s="14"/>
      <c r="K76" s="15"/>
      <c r="L76" s="15"/>
      <c r="M76" s="15"/>
      <c r="N76" s="15">
        <v>135</v>
      </c>
      <c r="O76" s="78">
        <f t="shared" si="12"/>
        <v>2265</v>
      </c>
      <c r="P76" s="16"/>
      <c r="Q76" s="269">
        <f t="shared" si="13"/>
        <v>2265</v>
      </c>
      <c r="R76" s="44"/>
      <c r="S76" s="247"/>
    </row>
    <row r="77" spans="1:19" s="10" customFormat="1" ht="15.75" customHeight="1" x14ac:dyDescent="0.25">
      <c r="A77" s="11">
        <v>70</v>
      </c>
      <c r="B77" s="12" t="s">
        <v>160</v>
      </c>
      <c r="C77" s="12" t="s">
        <v>20</v>
      </c>
      <c r="D77" s="12" t="s">
        <v>150</v>
      </c>
      <c r="E77" s="12" t="s">
        <v>166</v>
      </c>
      <c r="F77" s="13">
        <v>216.66</v>
      </c>
      <c r="G77" s="13">
        <v>3250</v>
      </c>
      <c r="H77" s="13">
        <f t="shared" si="11"/>
        <v>6500</v>
      </c>
      <c r="I77" s="14">
        <v>15</v>
      </c>
      <c r="J77" s="14"/>
      <c r="K77" s="15"/>
      <c r="L77" s="15"/>
      <c r="M77" s="15"/>
      <c r="N77" s="15"/>
      <c r="O77" s="78">
        <f t="shared" si="12"/>
        <v>3249.9</v>
      </c>
      <c r="P77" s="16"/>
      <c r="Q77" s="269">
        <f t="shared" si="13"/>
        <v>3249.9</v>
      </c>
      <c r="R77" s="44"/>
      <c r="S77" s="247"/>
    </row>
    <row r="78" spans="1:19" s="10" customFormat="1" ht="15.75" customHeight="1" x14ac:dyDescent="0.25">
      <c r="A78" s="11">
        <v>71</v>
      </c>
      <c r="B78" s="12" t="s">
        <v>160</v>
      </c>
      <c r="C78" s="12" t="s">
        <v>40</v>
      </c>
      <c r="D78" s="12" t="s">
        <v>41</v>
      </c>
      <c r="E78" s="12" t="s">
        <v>167</v>
      </c>
      <c r="F78" s="13">
        <v>166.67</v>
      </c>
      <c r="G78" s="13">
        <v>2500</v>
      </c>
      <c r="H78" s="13">
        <f t="shared" si="11"/>
        <v>5000</v>
      </c>
      <c r="I78" s="14">
        <v>15</v>
      </c>
      <c r="J78" s="14"/>
      <c r="K78" s="15"/>
      <c r="L78" s="15"/>
      <c r="M78" s="15"/>
      <c r="N78" s="15">
        <v>135</v>
      </c>
      <c r="O78" s="78">
        <f t="shared" si="12"/>
        <v>2365.0499999999997</v>
      </c>
      <c r="P78" s="16"/>
      <c r="Q78" s="269">
        <f t="shared" si="13"/>
        <v>2365.0499999999997</v>
      </c>
      <c r="R78" s="44"/>
      <c r="S78" s="247"/>
    </row>
    <row r="79" spans="1:19" s="10" customFormat="1" ht="15.75" customHeight="1" x14ac:dyDescent="0.25">
      <c r="A79" s="11">
        <v>72</v>
      </c>
      <c r="B79" s="12" t="s">
        <v>160</v>
      </c>
      <c r="C79" s="12" t="s">
        <v>40</v>
      </c>
      <c r="D79" s="12" t="s">
        <v>162</v>
      </c>
      <c r="E79" s="12" t="s">
        <v>168</v>
      </c>
      <c r="F79" s="13">
        <v>200</v>
      </c>
      <c r="G79" s="13">
        <v>3000</v>
      </c>
      <c r="H79" s="13">
        <f t="shared" si="11"/>
        <v>6000</v>
      </c>
      <c r="I79" s="14">
        <v>15</v>
      </c>
      <c r="J79" s="14"/>
      <c r="K79" s="15"/>
      <c r="L79" s="15"/>
      <c r="M79" s="15"/>
      <c r="N79" s="15">
        <v>50</v>
      </c>
      <c r="O79" s="78">
        <f t="shared" si="12"/>
        <v>2950</v>
      </c>
      <c r="P79" s="16"/>
      <c r="Q79" s="269">
        <f t="shared" si="13"/>
        <v>2950</v>
      </c>
      <c r="R79" s="44">
        <f>SUM(Q74:Q79)</f>
        <v>18294.900000000001</v>
      </c>
      <c r="S79" s="247"/>
    </row>
    <row r="80" spans="1:19" s="10" customFormat="1" ht="15.75" customHeight="1" thickBot="1" x14ac:dyDescent="0.3">
      <c r="A80" s="387" t="s">
        <v>113</v>
      </c>
      <c r="B80" s="388"/>
      <c r="C80" s="388"/>
      <c r="D80" s="388"/>
      <c r="E80" s="388"/>
      <c r="F80" s="388"/>
      <c r="G80" s="388"/>
      <c r="H80" s="388"/>
      <c r="I80" s="388"/>
      <c r="J80" s="388"/>
      <c r="K80" s="102">
        <f t="shared" ref="K80:N80" si="15">SUM(K7:K67)</f>
        <v>5013</v>
      </c>
      <c r="L80" s="102">
        <f t="shared" si="15"/>
        <v>2200</v>
      </c>
      <c r="M80" s="102">
        <f t="shared" si="15"/>
        <v>3261</v>
      </c>
      <c r="N80" s="102">
        <f t="shared" si="15"/>
        <v>3495</v>
      </c>
      <c r="O80" s="103">
        <f>SUM(O7:O79)</f>
        <v>252518.95333333334</v>
      </c>
      <c r="P80" s="103">
        <f>SUM(P7:P79)</f>
        <v>14424.899999999998</v>
      </c>
      <c r="Q80" s="103">
        <f>SUM(Q7:Q79)</f>
        <v>265047.43333333329</v>
      </c>
      <c r="R80" s="103">
        <f>SUM(R7:R79)</f>
        <v>265047.43333333329</v>
      </c>
      <c r="S80" s="104"/>
    </row>
    <row r="81" spans="1:17" ht="17.25" customHeight="1" x14ac:dyDescent="0.35">
      <c r="A81" s="50"/>
      <c r="P81" s="240">
        <f>O80+P80</f>
        <v>266943.85333333333</v>
      </c>
    </row>
    <row r="82" spans="1:17" x14ac:dyDescent="0.25">
      <c r="A82" s="50"/>
      <c r="E82" s="239" t="s">
        <v>146</v>
      </c>
      <c r="F82" s="51" t="s">
        <v>145</v>
      </c>
      <c r="G82" s="51">
        <f>SUM(G7:G67)</f>
        <v>260600</v>
      </c>
      <c r="H82" s="51">
        <f>SUM(H7:H67)</f>
        <v>521200</v>
      </c>
    </row>
    <row r="83" spans="1:17" x14ac:dyDescent="0.25">
      <c r="A83" s="50"/>
      <c r="E83" s="239" t="s">
        <v>147</v>
      </c>
      <c r="F83" s="51" t="s">
        <v>144</v>
      </c>
      <c r="G83" s="52">
        <v>15219</v>
      </c>
      <c r="Q83" s="289"/>
    </row>
    <row r="84" spans="1:17" x14ac:dyDescent="0.25">
      <c r="G84" s="52">
        <f>G82-G83</f>
        <v>245381</v>
      </c>
      <c r="Q84" s="290"/>
    </row>
  </sheetData>
  <autoFilter ref="A5:Q84"/>
  <mergeCells count="5">
    <mergeCell ref="B1:P1"/>
    <mergeCell ref="B2:P2"/>
    <mergeCell ref="B3:P3"/>
    <mergeCell ref="A80:J80"/>
    <mergeCell ref="K4:N4"/>
  </mergeCells>
  <pageMargins left="0" right="0" top="0.35433070866141736" bottom="0.39370078740157483" header="0.31496062992125984" footer="0.31496062992125984"/>
  <pageSetup scale="40" fitToHeight="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3"/>
  <sheetViews>
    <sheetView zoomScale="90" zoomScaleNormal="90" zoomScaleSheetLayoutView="85" workbookViewId="0">
      <selection activeCell="A13" sqref="A13"/>
    </sheetView>
  </sheetViews>
  <sheetFormatPr baseColWidth="10" defaultRowHeight="15" x14ac:dyDescent="0.25"/>
  <cols>
    <col min="1" max="1" width="22.140625" customWidth="1"/>
    <col min="2" max="2" width="13.28515625" bestFit="1" customWidth="1"/>
    <col min="3" max="3" width="13.7109375" bestFit="1" customWidth="1"/>
    <col min="4" max="4" width="21" bestFit="1" customWidth="1"/>
    <col min="5" max="5" width="22.140625" bestFit="1" customWidth="1"/>
    <col min="6" max="6" width="32.85546875" bestFit="1" customWidth="1"/>
    <col min="7" max="7" width="21" bestFit="1" customWidth="1"/>
    <col min="8" max="8" width="18.7109375" bestFit="1" customWidth="1"/>
    <col min="9" max="10" width="9.140625" customWidth="1"/>
    <col min="11" max="11" width="10.140625" customWidth="1"/>
    <col min="12" max="12" width="23" bestFit="1" customWidth="1"/>
    <col min="13" max="13" width="12.42578125" bestFit="1" customWidth="1"/>
    <col min="14" max="14" width="23.28515625" bestFit="1" customWidth="1"/>
    <col min="15" max="15" width="28.5703125" bestFit="1" customWidth="1"/>
    <col min="16" max="16" width="21.42578125" bestFit="1" customWidth="1"/>
    <col min="17" max="17" width="13.7109375" bestFit="1" customWidth="1"/>
    <col min="18" max="18" width="19.28515625" bestFit="1" customWidth="1"/>
    <col min="19" max="19" width="19.85546875" bestFit="1" customWidth="1"/>
    <col min="20" max="20" width="12.28515625" bestFit="1" customWidth="1"/>
    <col min="21" max="21" width="12.7109375" bestFit="1" customWidth="1"/>
    <col min="22" max="22" width="16.85546875" bestFit="1" customWidth="1"/>
    <col min="23" max="23" width="17.28515625" bestFit="1" customWidth="1"/>
    <col min="24" max="24" width="20.5703125" bestFit="1" customWidth="1"/>
    <col min="25" max="25" width="21.85546875" bestFit="1" customWidth="1"/>
    <col min="26" max="26" width="11.5703125" bestFit="1" customWidth="1"/>
    <col min="27" max="27" width="20" bestFit="1" customWidth="1"/>
    <col min="28" max="28" width="35.28515625" bestFit="1" customWidth="1"/>
    <col min="29" max="29" width="9.28515625" customWidth="1"/>
    <col min="30" max="30" width="10.85546875" customWidth="1"/>
    <col min="31" max="31" width="11.28515625" customWidth="1"/>
    <col min="32" max="32" width="22.7109375" bestFit="1" customWidth="1"/>
    <col min="33" max="33" width="19.7109375" bestFit="1" customWidth="1"/>
    <col min="34" max="34" width="11" customWidth="1"/>
    <col min="35" max="35" width="12.5703125" bestFit="1" customWidth="1"/>
  </cols>
  <sheetData>
    <row r="1" spans="1:8" ht="26.25" x14ac:dyDescent="0.25">
      <c r="A1" s="392" t="s">
        <v>192</v>
      </c>
      <c r="B1" s="392"/>
      <c r="C1" s="392"/>
      <c r="D1" s="392"/>
      <c r="E1" s="392"/>
      <c r="F1" s="392"/>
      <c r="G1" s="392"/>
      <c r="H1" s="392"/>
    </row>
    <row r="3" spans="1:8" x14ac:dyDescent="0.25">
      <c r="A3" s="285" t="s">
        <v>191</v>
      </c>
      <c r="B3" s="286" t="s">
        <v>113</v>
      </c>
    </row>
    <row r="4" spans="1:8" x14ac:dyDescent="0.25">
      <c r="A4" s="288" t="s">
        <v>107</v>
      </c>
      <c r="B4" s="284">
        <v>18000</v>
      </c>
    </row>
    <row r="5" spans="1:8" x14ac:dyDescent="0.25">
      <c r="A5" s="288" t="s">
        <v>82</v>
      </c>
      <c r="B5" s="284">
        <v>6865</v>
      </c>
    </row>
    <row r="6" spans="1:8" x14ac:dyDescent="0.25">
      <c r="A6" s="288" t="s">
        <v>19</v>
      </c>
      <c r="B6" s="284">
        <v>97507.666666666657</v>
      </c>
    </row>
    <row r="7" spans="1:8" x14ac:dyDescent="0.25">
      <c r="A7" s="288" t="s">
        <v>100</v>
      </c>
      <c r="B7" s="284">
        <v>15713.333333333334</v>
      </c>
    </row>
    <row r="8" spans="1:8" x14ac:dyDescent="0.25">
      <c r="A8" s="288" t="s">
        <v>64</v>
      </c>
      <c r="B8" s="284">
        <v>5815</v>
      </c>
    </row>
    <row r="9" spans="1:8" x14ac:dyDescent="0.25">
      <c r="A9" s="288" t="s">
        <v>97</v>
      </c>
      <c r="B9" s="284">
        <v>5950</v>
      </c>
    </row>
    <row r="10" spans="1:8" x14ac:dyDescent="0.25">
      <c r="A10" s="288" t="s">
        <v>188</v>
      </c>
      <c r="B10" s="284">
        <v>7550</v>
      </c>
    </row>
    <row r="11" spans="1:8" x14ac:dyDescent="0.25">
      <c r="A11" s="288" t="s">
        <v>72</v>
      </c>
      <c r="B11" s="284">
        <v>20034.16</v>
      </c>
    </row>
    <row r="12" spans="1:8" x14ac:dyDescent="0.25">
      <c r="A12" s="288" t="s">
        <v>59</v>
      </c>
      <c r="B12" s="284">
        <v>15268.960000000001</v>
      </c>
    </row>
    <row r="13" spans="1:8" x14ac:dyDescent="0.25">
      <c r="A13" s="288" t="s">
        <v>54</v>
      </c>
      <c r="B13" s="284">
        <v>9500</v>
      </c>
    </row>
    <row r="14" spans="1:8" x14ac:dyDescent="0.25">
      <c r="A14" s="288" t="s">
        <v>88</v>
      </c>
      <c r="B14" s="284">
        <v>12413.34</v>
      </c>
    </row>
    <row r="15" spans="1:8" x14ac:dyDescent="0.25">
      <c r="A15" s="288" t="s">
        <v>149</v>
      </c>
      <c r="B15" s="284">
        <v>18450</v>
      </c>
    </row>
    <row r="16" spans="1:8" x14ac:dyDescent="0.25">
      <c r="A16" s="288" t="s">
        <v>45</v>
      </c>
      <c r="B16" s="284">
        <v>10465</v>
      </c>
    </row>
    <row r="17" spans="1:2" x14ac:dyDescent="0.25">
      <c r="A17" s="288" t="s">
        <v>160</v>
      </c>
      <c r="B17" s="284">
        <v>18850</v>
      </c>
    </row>
    <row r="18" spans="1:2" x14ac:dyDescent="0.25">
      <c r="A18" s="283" t="s">
        <v>190</v>
      </c>
      <c r="B18" s="284">
        <v>262382.45999999996</v>
      </c>
    </row>
    <row r="21" spans="1:2" x14ac:dyDescent="0.25">
      <c r="A21" s="291" t="s">
        <v>202</v>
      </c>
      <c r="B21" s="292">
        <f>'1A. FEBRERO'!Q80</f>
        <v>265047.43333333329</v>
      </c>
    </row>
    <row r="23" spans="1:2" x14ac:dyDescent="0.25">
      <c r="A23" s="293" t="s">
        <v>203</v>
      </c>
      <c r="B23" s="294">
        <f>GETPIVOTDATA("TOTAL",$A$3)-B21</f>
        <v>-2664.9733333333279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84" orientation="landscape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E20"/>
  <sheetViews>
    <sheetView showGridLines="0" zoomScaleNormal="100" workbookViewId="0">
      <selection activeCell="G22" sqref="G22"/>
    </sheetView>
  </sheetViews>
  <sheetFormatPr baseColWidth="10" defaultRowHeight="15" x14ac:dyDescent="0.25"/>
  <cols>
    <col min="1" max="1" width="21.28515625" customWidth="1"/>
    <col min="2" max="2" width="15.5703125" bestFit="1" customWidth="1"/>
    <col min="3" max="3" width="10.7109375" bestFit="1" customWidth="1"/>
    <col min="4" max="4" width="9.42578125" bestFit="1" customWidth="1"/>
    <col min="5" max="5" width="11.85546875" bestFit="1" customWidth="1"/>
  </cols>
  <sheetData>
    <row r="2" spans="1:5" ht="23.25" x14ac:dyDescent="0.25">
      <c r="A2" s="393" t="s">
        <v>214</v>
      </c>
      <c r="B2" s="393"/>
      <c r="C2" s="393"/>
      <c r="D2" s="393"/>
      <c r="E2" s="393"/>
    </row>
    <row r="3" spans="1:5" x14ac:dyDescent="0.25">
      <c r="A3" s="300" t="s">
        <v>210</v>
      </c>
      <c r="B3" s="286" t="s">
        <v>211</v>
      </c>
      <c r="C3" s="286" t="s">
        <v>212</v>
      </c>
      <c r="D3" s="286" t="s">
        <v>215</v>
      </c>
      <c r="E3" s="286" t="s">
        <v>213</v>
      </c>
    </row>
    <row r="4" spans="1:5" x14ac:dyDescent="0.25">
      <c r="A4" s="283" t="s">
        <v>107</v>
      </c>
      <c r="B4" s="308"/>
      <c r="C4" s="308"/>
      <c r="D4" s="308"/>
      <c r="E4" s="308"/>
    </row>
    <row r="5" spans="1:5" x14ac:dyDescent="0.25">
      <c r="A5" s="283" t="s">
        <v>82</v>
      </c>
      <c r="B5" s="308"/>
      <c r="C5" s="308"/>
      <c r="D5" s="308"/>
      <c r="E5" s="308">
        <v>135</v>
      </c>
    </row>
    <row r="6" spans="1:5" x14ac:dyDescent="0.25">
      <c r="A6" s="283" t="s">
        <v>19</v>
      </c>
      <c r="B6" s="308">
        <v>1159</v>
      </c>
      <c r="C6" s="308"/>
      <c r="D6" s="308"/>
      <c r="E6" s="308">
        <v>200</v>
      </c>
    </row>
    <row r="7" spans="1:5" x14ac:dyDescent="0.25">
      <c r="A7" s="283" t="s">
        <v>100</v>
      </c>
      <c r="B7" s="308">
        <v>1100</v>
      </c>
      <c r="C7" s="308">
        <v>250</v>
      </c>
      <c r="D7" s="308">
        <v>100</v>
      </c>
      <c r="E7" s="308">
        <v>270</v>
      </c>
    </row>
    <row r="8" spans="1:5" x14ac:dyDescent="0.25">
      <c r="A8" s="283" t="s">
        <v>64</v>
      </c>
      <c r="B8" s="308"/>
      <c r="C8" s="308"/>
      <c r="D8" s="308">
        <v>50</v>
      </c>
      <c r="E8" s="308">
        <v>135</v>
      </c>
    </row>
    <row r="9" spans="1:5" x14ac:dyDescent="0.25">
      <c r="A9" s="283" t="s">
        <v>97</v>
      </c>
      <c r="B9" s="308"/>
      <c r="C9" s="308"/>
      <c r="D9" s="308">
        <v>50</v>
      </c>
      <c r="E9" s="308">
        <v>200</v>
      </c>
    </row>
    <row r="10" spans="1:5" x14ac:dyDescent="0.25">
      <c r="A10" s="283" t="s">
        <v>188</v>
      </c>
      <c r="B10" s="308"/>
      <c r="C10" s="308"/>
      <c r="D10" s="308">
        <v>50</v>
      </c>
      <c r="E10" s="308"/>
    </row>
    <row r="11" spans="1:5" x14ac:dyDescent="0.25">
      <c r="A11" s="283" t="s">
        <v>72</v>
      </c>
      <c r="B11" s="308">
        <v>1915.8400000000001</v>
      </c>
      <c r="C11" s="308">
        <v>100</v>
      </c>
      <c r="D11" s="308">
        <v>50</v>
      </c>
      <c r="E11" s="308"/>
    </row>
    <row r="12" spans="1:5" x14ac:dyDescent="0.25">
      <c r="A12" s="283" t="s">
        <v>59</v>
      </c>
      <c r="B12" s="308">
        <v>1126.04</v>
      </c>
      <c r="C12" s="308">
        <v>800</v>
      </c>
      <c r="D12" s="308"/>
      <c r="E12" s="308">
        <v>405</v>
      </c>
    </row>
    <row r="13" spans="1:5" x14ac:dyDescent="0.25">
      <c r="A13" s="283" t="s">
        <v>54</v>
      </c>
      <c r="B13" s="308"/>
      <c r="C13" s="308"/>
      <c r="D13" s="308"/>
      <c r="E13" s="308"/>
    </row>
    <row r="14" spans="1:5" x14ac:dyDescent="0.25">
      <c r="A14" s="283" t="s">
        <v>88</v>
      </c>
      <c r="B14" s="308">
        <v>500</v>
      </c>
      <c r="C14" s="308">
        <v>166.66</v>
      </c>
      <c r="D14" s="308">
        <v>50</v>
      </c>
      <c r="E14" s="308">
        <v>270</v>
      </c>
    </row>
    <row r="15" spans="1:5" x14ac:dyDescent="0.25">
      <c r="A15" s="283" t="s">
        <v>149</v>
      </c>
      <c r="B15" s="308"/>
      <c r="C15" s="308"/>
      <c r="D15" s="308">
        <v>50</v>
      </c>
      <c r="E15" s="308"/>
    </row>
    <row r="16" spans="1:5" x14ac:dyDescent="0.25">
      <c r="A16" s="283" t="s">
        <v>45</v>
      </c>
      <c r="B16" s="308"/>
      <c r="C16" s="308">
        <v>50</v>
      </c>
      <c r="D16" s="308">
        <v>350</v>
      </c>
      <c r="E16" s="308">
        <v>135</v>
      </c>
    </row>
    <row r="17" spans="1:5" x14ac:dyDescent="0.25">
      <c r="A17" s="283" t="s">
        <v>160</v>
      </c>
      <c r="B17" s="308"/>
      <c r="C17" s="308"/>
      <c r="D17" s="308">
        <v>400</v>
      </c>
      <c r="E17" s="308"/>
    </row>
    <row r="18" spans="1:5" x14ac:dyDescent="0.25">
      <c r="A18" s="283" t="s">
        <v>190</v>
      </c>
      <c r="B18" s="308">
        <v>5800.88</v>
      </c>
      <c r="C18" s="308">
        <v>1366.66</v>
      </c>
      <c r="D18" s="308">
        <v>1150</v>
      </c>
      <c r="E18" s="308">
        <v>1750</v>
      </c>
    </row>
    <row r="20" spans="1:5" ht="15.75" x14ac:dyDescent="0.25">
      <c r="A20" s="309" t="s">
        <v>113</v>
      </c>
      <c r="B20" s="310">
        <f>GETPIVOTDATA("DEUDA INTERNA",$A$3)+GETPIVOTDATA("RETARDOS ",$A$3)+GETPIVOTDATA("AC.CORR.",$A$3)+GETPIVOTDATA("UNIFORMES",$A$3)</f>
        <v>10067.540000000001</v>
      </c>
    </row>
  </sheetData>
  <mergeCells count="1">
    <mergeCell ref="A2:E2"/>
  </mergeCells>
  <pageMargins left="0.7" right="0.7" top="0.75" bottom="0.75" header="0.3" footer="0.3"/>
  <pageSetup scale="87" orientation="landscape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85"/>
  <sheetViews>
    <sheetView showGridLines="0" zoomScaleNormal="100" workbookViewId="0">
      <pane xSplit="5" ySplit="5" topLeftCell="O74" activePane="bottomRight" state="frozen"/>
      <selection pane="topRight" activeCell="F1" sqref="F1"/>
      <selection pane="bottomLeft" activeCell="A6" sqref="A6"/>
      <selection pane="bottomRight" activeCell="Q77" sqref="Q77"/>
    </sheetView>
  </sheetViews>
  <sheetFormatPr baseColWidth="10" defaultColWidth="9.140625" defaultRowHeight="15" outlineLevelCol="1" x14ac:dyDescent="0.25"/>
  <cols>
    <col min="1" max="1" width="3" style="249" customWidth="1"/>
    <col min="2" max="2" width="18" style="249" customWidth="1" outlineLevel="1"/>
    <col min="3" max="3" width="17" style="249" customWidth="1" outlineLevel="1"/>
    <col min="4" max="4" width="35" style="249" customWidth="1" outlineLevel="1"/>
    <col min="5" max="5" width="39.7109375" style="249" bestFit="1" customWidth="1"/>
    <col min="6" max="6" width="21.42578125" style="51" customWidth="1" outlineLevel="1"/>
    <col min="7" max="7" width="17.28515625" style="52" customWidth="1" outlineLevel="1"/>
    <col min="8" max="8" width="15.7109375" style="52" customWidth="1" outlineLevel="1"/>
    <col min="9" max="9" width="11" style="53" customWidth="1" outlineLevel="1"/>
    <col min="10" max="10" width="8.140625" style="53" customWidth="1" outlineLevel="1"/>
    <col min="11" max="11" width="22.140625" style="54" bestFit="1" customWidth="1"/>
    <col min="12" max="12" width="17.28515625" style="54" bestFit="1" customWidth="1"/>
    <col min="13" max="13" width="18.7109375" style="54" bestFit="1" customWidth="1"/>
    <col min="14" max="14" width="17.85546875" style="54" bestFit="1" customWidth="1"/>
    <col min="15" max="15" width="20.7109375" style="105" bestFit="1" customWidth="1"/>
    <col min="16" max="16" width="19" style="249" customWidth="1"/>
    <col min="17" max="17" width="20.7109375" style="249" customWidth="1"/>
    <col min="18" max="18" width="32.5703125" style="249" customWidth="1"/>
    <col min="19" max="19" width="20.140625" style="249" bestFit="1" customWidth="1"/>
    <col min="20" max="20" width="31" style="314" bestFit="1" customWidth="1"/>
    <col min="21" max="21" width="11.42578125" style="314" bestFit="1" customWidth="1"/>
    <col min="22" max="22" width="14.7109375" style="314" bestFit="1" customWidth="1"/>
    <col min="23" max="23" width="6.140625" style="314" bestFit="1" customWidth="1"/>
    <col min="24" max="24" width="4.42578125" style="314" bestFit="1" customWidth="1"/>
    <col min="25" max="25" width="4.28515625" style="314" bestFit="1" customWidth="1"/>
    <col min="26" max="26" width="31.5703125" style="314" bestFit="1" customWidth="1"/>
    <col min="27" max="27" width="22" style="314" bestFit="1" customWidth="1"/>
    <col min="28" max="28" width="23.7109375" style="314" bestFit="1" customWidth="1"/>
    <col min="29" max="29" width="26.5703125" style="314" bestFit="1" customWidth="1"/>
    <col min="30" max="30" width="31.140625" style="314" bestFit="1" customWidth="1"/>
    <col min="31" max="31" width="22.28515625" style="314" bestFit="1" customWidth="1"/>
    <col min="32" max="32" width="27.7109375" style="314" bestFit="1" customWidth="1"/>
    <col min="33" max="33" width="28.7109375" style="314" bestFit="1" customWidth="1"/>
    <col min="34" max="34" width="30.5703125" style="314" bestFit="1" customWidth="1"/>
    <col min="35" max="35" width="34.7109375" style="314" bestFit="1" customWidth="1"/>
    <col min="36" max="36" width="29.140625" style="314" bestFit="1" customWidth="1"/>
    <col min="37" max="37" width="33" style="314" bestFit="1" customWidth="1"/>
    <col min="38" max="38" width="9" style="314" bestFit="1" customWidth="1"/>
    <col min="39" max="16384" width="9.140625" style="249"/>
  </cols>
  <sheetData>
    <row r="1" spans="1:38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</row>
    <row r="2" spans="1:38" ht="18.75" x14ac:dyDescent="0.25">
      <c r="B2" s="394" t="s">
        <v>205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</row>
    <row r="3" spans="1:38" ht="15.75" thickBot="1" x14ac:dyDescent="0.3">
      <c r="B3" s="278" t="s">
        <v>0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</row>
    <row r="4" spans="1:38" ht="19.5" thickBot="1" x14ac:dyDescent="0.35">
      <c r="B4" s="248"/>
      <c r="F4" s="249"/>
      <c r="G4" s="249"/>
      <c r="H4" s="249"/>
      <c r="I4" s="249"/>
      <c r="J4" s="249"/>
      <c r="K4" s="389" t="s">
        <v>144</v>
      </c>
      <c r="L4" s="390"/>
      <c r="M4" s="390"/>
      <c r="N4" s="391"/>
      <c r="O4" s="249"/>
    </row>
    <row r="5" spans="1:38" s="2" customFormat="1" ht="38.25" customHeight="1" x14ac:dyDescent="0.25">
      <c r="A5" s="295" t="s">
        <v>1</v>
      </c>
      <c r="B5" s="88" t="s">
        <v>2</v>
      </c>
      <c r="C5" s="89" t="s">
        <v>3</v>
      </c>
      <c r="D5" s="89" t="s">
        <v>4</v>
      </c>
      <c r="E5" s="89" t="s">
        <v>5</v>
      </c>
      <c r="F5" s="90" t="s">
        <v>6</v>
      </c>
      <c r="G5" s="91" t="s">
        <v>140</v>
      </c>
      <c r="H5" s="91" t="s">
        <v>141</v>
      </c>
      <c r="I5" s="92" t="s">
        <v>8</v>
      </c>
      <c r="J5" s="89" t="s">
        <v>9</v>
      </c>
      <c r="K5" s="238" t="s">
        <v>10</v>
      </c>
      <c r="L5" s="238" t="s">
        <v>11</v>
      </c>
      <c r="M5" s="238" t="s">
        <v>12</v>
      </c>
      <c r="N5" s="238" t="s">
        <v>13</v>
      </c>
      <c r="O5" s="93" t="s">
        <v>14</v>
      </c>
      <c r="P5" s="94" t="s">
        <v>15</v>
      </c>
      <c r="Q5" s="89" t="s">
        <v>16</v>
      </c>
      <c r="R5" s="96" t="s">
        <v>18</v>
      </c>
      <c r="S5" s="2" t="s">
        <v>208</v>
      </c>
      <c r="T5" s="315" t="s">
        <v>217</v>
      </c>
      <c r="U5" s="315" t="s">
        <v>218</v>
      </c>
      <c r="V5" s="315" t="s">
        <v>219</v>
      </c>
      <c r="W5" s="315" t="s">
        <v>220</v>
      </c>
      <c r="X5" s="315" t="s">
        <v>221</v>
      </c>
      <c r="Y5" s="315" t="s">
        <v>222</v>
      </c>
      <c r="Z5" s="315" t="s">
        <v>223</v>
      </c>
      <c r="AA5" s="315" t="s">
        <v>224</v>
      </c>
      <c r="AB5" s="315" t="s">
        <v>225</v>
      </c>
      <c r="AC5" s="315" t="s">
        <v>226</v>
      </c>
      <c r="AD5" s="315" t="s">
        <v>227</v>
      </c>
      <c r="AE5" s="315" t="s">
        <v>228</v>
      </c>
      <c r="AF5" s="315" t="s">
        <v>229</v>
      </c>
      <c r="AG5" s="315" t="s">
        <v>230</v>
      </c>
      <c r="AH5" s="315" t="s">
        <v>231</v>
      </c>
      <c r="AI5" s="315" t="s">
        <v>232</v>
      </c>
      <c r="AJ5" s="315" t="s">
        <v>233</v>
      </c>
      <c r="AK5" s="315" t="s">
        <v>234</v>
      </c>
      <c r="AL5" s="315" t="s">
        <v>235</v>
      </c>
    </row>
    <row r="6" spans="1:38" s="160" customFormat="1" ht="15.75" customHeight="1" x14ac:dyDescent="0.25">
      <c r="A6" s="164">
        <v>1</v>
      </c>
      <c r="B6" s="162" t="s">
        <v>19</v>
      </c>
      <c r="C6" s="162" t="s">
        <v>20</v>
      </c>
      <c r="D6" s="162" t="s">
        <v>178</v>
      </c>
      <c r="E6" s="162" t="s">
        <v>22</v>
      </c>
      <c r="F6" s="163">
        <f t="shared" ref="F6:F37" si="0">G6/15</f>
        <v>1000</v>
      </c>
      <c r="G6" s="163">
        <v>15000</v>
      </c>
      <c r="H6" s="163">
        <f>G6*2</f>
        <v>30000</v>
      </c>
      <c r="I6" s="164">
        <v>15</v>
      </c>
      <c r="J6" s="164"/>
      <c r="K6" s="165"/>
      <c r="L6" s="165"/>
      <c r="M6" s="165"/>
      <c r="N6" s="165"/>
      <c r="O6" s="166">
        <f t="shared" ref="O6:O37" si="1">Q6-P6</f>
        <v>13103.58</v>
      </c>
      <c r="P6" s="167">
        <v>1896.42</v>
      </c>
      <c r="Q6" s="167">
        <f t="shared" ref="Q6:Q37" si="2">(I6*F6)-(K6+L6+M6+N6)</f>
        <v>15000</v>
      </c>
      <c r="R6" s="162"/>
      <c r="S6" s="296">
        <f>F6*I6</f>
        <v>15000</v>
      </c>
    </row>
    <row r="7" spans="1:38" s="160" customFormat="1" ht="15.75" customHeight="1" x14ac:dyDescent="0.25">
      <c r="A7" s="164">
        <v>2</v>
      </c>
      <c r="B7" s="162" t="s">
        <v>19</v>
      </c>
      <c r="C7" s="162" t="s">
        <v>20</v>
      </c>
      <c r="D7" s="162" t="s">
        <v>179</v>
      </c>
      <c r="E7" s="162" t="s">
        <v>24</v>
      </c>
      <c r="F7" s="163">
        <f t="shared" si="0"/>
        <v>1000</v>
      </c>
      <c r="G7" s="163">
        <v>15000</v>
      </c>
      <c r="H7" s="163">
        <f>G7*2</f>
        <v>30000</v>
      </c>
      <c r="I7" s="164">
        <v>15</v>
      </c>
      <c r="J7" s="164"/>
      <c r="K7" s="165"/>
      <c r="L7" s="165"/>
      <c r="M7" s="165"/>
      <c r="N7" s="165"/>
      <c r="O7" s="166">
        <f t="shared" si="1"/>
        <v>15000</v>
      </c>
      <c r="P7" s="167"/>
      <c r="Q7" s="167">
        <f t="shared" si="2"/>
        <v>15000</v>
      </c>
      <c r="R7" s="162"/>
      <c r="S7" s="296">
        <f t="shared" ref="S7:S70" si="3">F7*I7</f>
        <v>15000</v>
      </c>
    </row>
    <row r="8" spans="1:38" s="160" customFormat="1" ht="15.75" customHeight="1" x14ac:dyDescent="0.25">
      <c r="A8" s="164">
        <v>3</v>
      </c>
      <c r="B8" s="162" t="s">
        <v>19</v>
      </c>
      <c r="C8" s="162" t="s">
        <v>20</v>
      </c>
      <c r="D8" s="162" t="s">
        <v>180</v>
      </c>
      <c r="E8" s="162" t="s">
        <v>139</v>
      </c>
      <c r="F8" s="163">
        <f t="shared" si="0"/>
        <v>666.66666666666663</v>
      </c>
      <c r="G8" s="163">
        <f>H8/2</f>
        <v>10000</v>
      </c>
      <c r="H8" s="163">
        <v>20000</v>
      </c>
      <c r="I8" s="164">
        <v>15</v>
      </c>
      <c r="J8" s="164"/>
      <c r="K8" s="165"/>
      <c r="L8" s="165"/>
      <c r="M8" s="165"/>
      <c r="N8" s="165"/>
      <c r="O8" s="166">
        <f t="shared" si="1"/>
        <v>10000</v>
      </c>
      <c r="P8" s="167"/>
      <c r="Q8" s="167">
        <f t="shared" si="2"/>
        <v>10000</v>
      </c>
      <c r="R8" s="162"/>
      <c r="S8" s="296">
        <f t="shared" si="3"/>
        <v>10000</v>
      </c>
    </row>
    <row r="9" spans="1:38" s="160" customFormat="1" ht="15.75" customHeight="1" x14ac:dyDescent="0.25">
      <c r="A9" s="164">
        <v>4</v>
      </c>
      <c r="B9" s="162" t="s">
        <v>19</v>
      </c>
      <c r="C9" s="162" t="s">
        <v>20</v>
      </c>
      <c r="D9" s="162" t="s">
        <v>169</v>
      </c>
      <c r="E9" s="162" t="s">
        <v>170</v>
      </c>
      <c r="F9" s="163">
        <f t="shared" si="0"/>
        <v>400</v>
      </c>
      <c r="G9" s="163">
        <f>H9/2</f>
        <v>6000</v>
      </c>
      <c r="H9" s="163">
        <v>12000</v>
      </c>
      <c r="I9" s="164">
        <v>15</v>
      </c>
      <c r="J9" s="164"/>
      <c r="K9" s="165"/>
      <c r="L9" s="165"/>
      <c r="M9" s="165"/>
      <c r="N9" s="165"/>
      <c r="O9" s="166">
        <f t="shared" si="1"/>
        <v>6000</v>
      </c>
      <c r="P9" s="167"/>
      <c r="Q9" s="167">
        <f t="shared" si="2"/>
        <v>6000</v>
      </c>
      <c r="R9" s="162"/>
      <c r="S9" s="296">
        <f t="shared" si="3"/>
        <v>6000</v>
      </c>
    </row>
    <row r="10" spans="1:38" s="160" customFormat="1" ht="15.75" customHeight="1" x14ac:dyDescent="0.25">
      <c r="A10" s="164">
        <v>5</v>
      </c>
      <c r="B10" s="162" t="s">
        <v>19</v>
      </c>
      <c r="C10" s="162" t="s">
        <v>20</v>
      </c>
      <c r="D10" s="162" t="s">
        <v>173</v>
      </c>
      <c r="E10" s="162" t="s">
        <v>172</v>
      </c>
      <c r="F10" s="163">
        <f t="shared" si="0"/>
        <v>233.33333333333334</v>
      </c>
      <c r="G10" s="163">
        <f>H10/2</f>
        <v>3500</v>
      </c>
      <c r="H10" s="163">
        <v>7000</v>
      </c>
      <c r="I10" s="164">
        <v>17</v>
      </c>
      <c r="J10" s="164"/>
      <c r="K10" s="165"/>
      <c r="L10" s="165"/>
      <c r="M10" s="165"/>
      <c r="N10" s="165"/>
      <c r="O10" s="166">
        <f t="shared" si="1"/>
        <v>3966.666666666667</v>
      </c>
      <c r="P10" s="167"/>
      <c r="Q10" s="167">
        <f t="shared" si="2"/>
        <v>3966.666666666667</v>
      </c>
      <c r="R10" s="162"/>
      <c r="S10" s="296">
        <f t="shared" si="3"/>
        <v>3966.666666666667</v>
      </c>
    </row>
    <row r="11" spans="1:38" s="160" customFormat="1" ht="15.75" customHeight="1" x14ac:dyDescent="0.25">
      <c r="A11" s="164">
        <v>6</v>
      </c>
      <c r="B11" s="162" t="s">
        <v>19</v>
      </c>
      <c r="C11" s="162" t="s">
        <v>20</v>
      </c>
      <c r="D11" s="162" t="s">
        <v>171</v>
      </c>
      <c r="E11" s="162" t="s">
        <v>29</v>
      </c>
      <c r="F11" s="163">
        <f t="shared" si="0"/>
        <v>266.66666666666669</v>
      </c>
      <c r="G11" s="163">
        <f>H11/2</f>
        <v>4000</v>
      </c>
      <c r="H11" s="163">
        <v>8000</v>
      </c>
      <c r="I11" s="164">
        <v>15</v>
      </c>
      <c r="J11" s="164"/>
      <c r="K11" s="165"/>
      <c r="L11" s="165"/>
      <c r="M11" s="165"/>
      <c r="N11" s="165"/>
      <c r="O11" s="166">
        <f t="shared" si="1"/>
        <v>4000.0000000000005</v>
      </c>
      <c r="P11" s="167"/>
      <c r="Q11" s="167">
        <f t="shared" si="2"/>
        <v>4000.0000000000005</v>
      </c>
      <c r="R11" s="162"/>
      <c r="S11" s="296">
        <f t="shared" si="3"/>
        <v>4000.0000000000005</v>
      </c>
    </row>
    <row r="12" spans="1:38" s="160" customFormat="1" ht="15.75" customHeight="1" x14ac:dyDescent="0.25">
      <c r="A12" s="164">
        <v>7</v>
      </c>
      <c r="B12" s="162" t="s">
        <v>19</v>
      </c>
      <c r="C12" s="162" t="s">
        <v>20</v>
      </c>
      <c r="D12" s="162" t="s">
        <v>177</v>
      </c>
      <c r="E12" s="162" t="s">
        <v>137</v>
      </c>
      <c r="F12" s="163">
        <f t="shared" si="0"/>
        <v>233.33333333333334</v>
      </c>
      <c r="G12" s="163">
        <v>3500</v>
      </c>
      <c r="H12" s="163">
        <f>G12*2</f>
        <v>7000</v>
      </c>
      <c r="I12" s="164">
        <v>15</v>
      </c>
      <c r="J12" s="164"/>
      <c r="K12" s="165"/>
      <c r="L12" s="165"/>
      <c r="M12" s="165"/>
      <c r="N12" s="165"/>
      <c r="O12" s="166">
        <f t="shared" si="1"/>
        <v>3500</v>
      </c>
      <c r="P12" s="167"/>
      <c r="Q12" s="167">
        <f t="shared" si="2"/>
        <v>3500</v>
      </c>
      <c r="R12" s="162"/>
      <c r="S12" s="296">
        <f t="shared" si="3"/>
        <v>3500</v>
      </c>
    </row>
    <row r="13" spans="1:38" s="160" customFormat="1" ht="15.75" customHeight="1" x14ac:dyDescent="0.25">
      <c r="A13" s="164">
        <v>8</v>
      </c>
      <c r="B13" s="162" t="s">
        <v>19</v>
      </c>
      <c r="C13" s="162" t="s">
        <v>20</v>
      </c>
      <c r="D13" s="162" t="s">
        <v>174</v>
      </c>
      <c r="E13" s="162" t="s">
        <v>31</v>
      </c>
      <c r="F13" s="163">
        <f t="shared" si="0"/>
        <v>400</v>
      </c>
      <c r="G13" s="163">
        <f>H13/2</f>
        <v>6000</v>
      </c>
      <c r="H13" s="163">
        <v>12000</v>
      </c>
      <c r="I13" s="164">
        <v>15</v>
      </c>
      <c r="J13" s="164"/>
      <c r="K13" s="165">
        <v>500</v>
      </c>
      <c r="L13" s="165"/>
      <c r="M13" s="165"/>
      <c r="N13" s="165"/>
      <c r="O13" s="166">
        <f t="shared" si="1"/>
        <v>5500</v>
      </c>
      <c r="P13" s="167"/>
      <c r="Q13" s="167">
        <f t="shared" si="2"/>
        <v>5500</v>
      </c>
      <c r="R13" s="162"/>
      <c r="S13" s="296">
        <f t="shared" si="3"/>
        <v>6000</v>
      </c>
    </row>
    <row r="14" spans="1:38" s="160" customFormat="1" ht="15.75" customHeight="1" x14ac:dyDescent="0.25">
      <c r="A14" s="164">
        <v>9</v>
      </c>
      <c r="B14" s="162" t="s">
        <v>19</v>
      </c>
      <c r="C14" s="162" t="s">
        <v>20</v>
      </c>
      <c r="D14" s="162" t="s">
        <v>181</v>
      </c>
      <c r="E14" s="162" t="s">
        <v>130</v>
      </c>
      <c r="F14" s="163">
        <f t="shared" si="0"/>
        <v>500</v>
      </c>
      <c r="G14" s="163">
        <v>7500</v>
      </c>
      <c r="H14" s="163">
        <f>G14*2</f>
        <v>15000</v>
      </c>
      <c r="I14" s="164">
        <v>15</v>
      </c>
      <c r="J14" s="164"/>
      <c r="K14" s="165"/>
      <c r="L14" s="165"/>
      <c r="M14" s="165"/>
      <c r="N14" s="165"/>
      <c r="O14" s="166">
        <f t="shared" si="1"/>
        <v>7500</v>
      </c>
      <c r="P14" s="167"/>
      <c r="Q14" s="167">
        <f t="shared" si="2"/>
        <v>7500</v>
      </c>
      <c r="R14" s="162"/>
      <c r="S14" s="296">
        <f t="shared" si="3"/>
        <v>7500</v>
      </c>
    </row>
    <row r="15" spans="1:38" s="160" customFormat="1" ht="15.75" customHeight="1" x14ac:dyDescent="0.25">
      <c r="A15" s="164">
        <v>10</v>
      </c>
      <c r="B15" s="162" t="s">
        <v>19</v>
      </c>
      <c r="C15" s="162" t="s">
        <v>176</v>
      </c>
      <c r="D15" s="162" t="s">
        <v>175</v>
      </c>
      <c r="E15" s="162" t="s">
        <v>36</v>
      </c>
      <c r="F15" s="163">
        <f t="shared" si="0"/>
        <v>833.33333333333337</v>
      </c>
      <c r="G15" s="163">
        <f t="shared" ref="G15:G46" si="4">H15/2</f>
        <v>12500</v>
      </c>
      <c r="H15" s="163">
        <v>25000</v>
      </c>
      <c r="I15" s="164">
        <v>15</v>
      </c>
      <c r="J15" s="164"/>
      <c r="K15" s="165"/>
      <c r="L15" s="165"/>
      <c r="M15" s="165"/>
      <c r="N15" s="165"/>
      <c r="O15" s="166">
        <f t="shared" si="1"/>
        <v>10933.94</v>
      </c>
      <c r="P15" s="167">
        <v>1566.06</v>
      </c>
      <c r="Q15" s="167">
        <f t="shared" si="2"/>
        <v>12500</v>
      </c>
      <c r="R15" s="162"/>
      <c r="S15" s="296">
        <f t="shared" si="3"/>
        <v>12500</v>
      </c>
    </row>
    <row r="16" spans="1:38" s="160" customFormat="1" ht="15.75" customHeight="1" x14ac:dyDescent="0.25">
      <c r="A16" s="164">
        <v>11</v>
      </c>
      <c r="B16" s="162" t="s">
        <v>19</v>
      </c>
      <c r="C16" s="162" t="s">
        <v>176</v>
      </c>
      <c r="D16" s="162" t="s">
        <v>37</v>
      </c>
      <c r="E16" s="162" t="s">
        <v>38</v>
      </c>
      <c r="F16" s="163">
        <f t="shared" si="0"/>
        <v>266.66666666666669</v>
      </c>
      <c r="G16" s="163">
        <f t="shared" si="4"/>
        <v>4000</v>
      </c>
      <c r="H16" s="163">
        <v>8000</v>
      </c>
      <c r="I16" s="164">
        <v>15</v>
      </c>
      <c r="J16" s="164"/>
      <c r="K16" s="165"/>
      <c r="L16" s="165"/>
      <c r="M16" s="165"/>
      <c r="N16" s="165"/>
      <c r="O16" s="166">
        <f t="shared" si="1"/>
        <v>2433.9400000000005</v>
      </c>
      <c r="P16" s="167">
        <v>1566.06</v>
      </c>
      <c r="Q16" s="167">
        <f t="shared" si="2"/>
        <v>4000.0000000000005</v>
      </c>
      <c r="R16" s="162"/>
      <c r="S16" s="296">
        <f t="shared" si="3"/>
        <v>4000.0000000000005</v>
      </c>
    </row>
    <row r="17" spans="1:19" s="160" customFormat="1" ht="15.75" customHeight="1" x14ac:dyDescent="0.25">
      <c r="A17" s="164">
        <v>12</v>
      </c>
      <c r="B17" s="162" t="s">
        <v>19</v>
      </c>
      <c r="C17" s="162" t="s">
        <v>176</v>
      </c>
      <c r="D17" s="169" t="s">
        <v>33</v>
      </c>
      <c r="E17" s="162" t="s">
        <v>34</v>
      </c>
      <c r="F17" s="163">
        <f t="shared" si="0"/>
        <v>333.33333333333331</v>
      </c>
      <c r="G17" s="163">
        <f t="shared" si="4"/>
        <v>5000</v>
      </c>
      <c r="H17" s="163">
        <v>10000</v>
      </c>
      <c r="I17" s="164">
        <v>15</v>
      </c>
      <c r="J17" s="164"/>
      <c r="K17" s="165"/>
      <c r="L17" s="165"/>
      <c r="M17" s="165"/>
      <c r="N17" s="165"/>
      <c r="O17" s="166">
        <f t="shared" si="1"/>
        <v>3433.94</v>
      </c>
      <c r="P17" s="311">
        <v>1566.06</v>
      </c>
      <c r="Q17" s="167">
        <f t="shared" si="2"/>
        <v>5000</v>
      </c>
      <c r="R17" s="162"/>
      <c r="S17" s="296">
        <f t="shared" si="3"/>
        <v>5000</v>
      </c>
    </row>
    <row r="18" spans="1:19" s="160" customFormat="1" ht="15.75" customHeight="1" x14ac:dyDescent="0.25">
      <c r="A18" s="164">
        <v>13</v>
      </c>
      <c r="B18" s="162" t="s">
        <v>19</v>
      </c>
      <c r="C18" s="162" t="s">
        <v>176</v>
      </c>
      <c r="D18" s="169" t="s">
        <v>182</v>
      </c>
      <c r="E18" s="162" t="s">
        <v>183</v>
      </c>
      <c r="F18" s="163">
        <f t="shared" si="0"/>
        <v>266.66666666666669</v>
      </c>
      <c r="G18" s="163">
        <f t="shared" si="4"/>
        <v>4000</v>
      </c>
      <c r="H18" s="163">
        <v>8000</v>
      </c>
      <c r="I18" s="164">
        <v>9</v>
      </c>
      <c r="J18" s="164"/>
      <c r="K18" s="165"/>
      <c r="L18" s="165"/>
      <c r="M18" s="165"/>
      <c r="N18" s="165"/>
      <c r="O18" s="166">
        <f t="shared" si="1"/>
        <v>2400</v>
      </c>
      <c r="P18" s="167"/>
      <c r="Q18" s="167">
        <f t="shared" si="2"/>
        <v>2400</v>
      </c>
      <c r="R18" s="162"/>
      <c r="S18" s="296">
        <f t="shared" si="3"/>
        <v>2400</v>
      </c>
    </row>
    <row r="19" spans="1:19" s="261" customFormat="1" ht="15.75" customHeight="1" x14ac:dyDescent="0.25">
      <c r="A19" s="164">
        <v>14</v>
      </c>
      <c r="B19" s="254" t="s">
        <v>188</v>
      </c>
      <c r="C19" s="254" t="s">
        <v>20</v>
      </c>
      <c r="D19" s="254" t="s">
        <v>185</v>
      </c>
      <c r="E19" s="254" t="s">
        <v>52</v>
      </c>
      <c r="F19" s="253">
        <f t="shared" si="0"/>
        <v>266.66666666666669</v>
      </c>
      <c r="G19" s="253">
        <f t="shared" si="4"/>
        <v>4000</v>
      </c>
      <c r="H19" s="253">
        <v>8000</v>
      </c>
      <c r="I19" s="255">
        <v>15</v>
      </c>
      <c r="J19" s="255"/>
      <c r="K19" s="256"/>
      <c r="L19" s="256"/>
      <c r="M19" s="256">
        <v>50</v>
      </c>
      <c r="N19" s="256"/>
      <c r="O19" s="257">
        <f t="shared" si="1"/>
        <v>3950.0000000000005</v>
      </c>
      <c r="P19" s="258"/>
      <c r="Q19" s="258">
        <f t="shared" si="2"/>
        <v>3950.0000000000005</v>
      </c>
      <c r="R19" s="254"/>
      <c r="S19" s="296">
        <f t="shared" si="3"/>
        <v>4000.0000000000005</v>
      </c>
    </row>
    <row r="20" spans="1:19" s="261" customFormat="1" ht="15.75" customHeight="1" x14ac:dyDescent="0.25">
      <c r="A20" s="164">
        <v>15</v>
      </c>
      <c r="B20" s="254" t="s">
        <v>188</v>
      </c>
      <c r="C20" s="254" t="s">
        <v>187</v>
      </c>
      <c r="D20" s="254" t="s">
        <v>41</v>
      </c>
      <c r="E20" s="254" t="s">
        <v>42</v>
      </c>
      <c r="F20" s="253">
        <f t="shared" si="0"/>
        <v>240</v>
      </c>
      <c r="G20" s="253">
        <f t="shared" si="4"/>
        <v>3600</v>
      </c>
      <c r="H20" s="253">
        <v>7200</v>
      </c>
      <c r="I20" s="255">
        <v>15</v>
      </c>
      <c r="J20" s="255"/>
      <c r="K20" s="282"/>
      <c r="L20" s="282"/>
      <c r="M20" s="282"/>
      <c r="N20" s="282"/>
      <c r="O20" s="257">
        <f t="shared" si="1"/>
        <v>2033.94</v>
      </c>
      <c r="P20" s="311">
        <v>1566.06</v>
      </c>
      <c r="Q20" s="258">
        <f t="shared" si="2"/>
        <v>3600</v>
      </c>
      <c r="R20" s="254"/>
      <c r="S20" s="296">
        <f t="shared" si="3"/>
        <v>3600</v>
      </c>
    </row>
    <row r="21" spans="1:19" s="270" customFormat="1" ht="15.75" customHeight="1" x14ac:dyDescent="0.25">
      <c r="A21" s="164">
        <v>16</v>
      </c>
      <c r="B21" s="264" t="s">
        <v>45</v>
      </c>
      <c r="C21" s="264" t="s">
        <v>20</v>
      </c>
      <c r="D21" s="264" t="s">
        <v>185</v>
      </c>
      <c r="E21" s="264" t="s">
        <v>198</v>
      </c>
      <c r="F21" s="265">
        <f t="shared" si="0"/>
        <v>266.66666666666669</v>
      </c>
      <c r="G21" s="265">
        <f t="shared" si="4"/>
        <v>4000</v>
      </c>
      <c r="H21" s="265">
        <v>8000</v>
      </c>
      <c r="I21" s="266">
        <v>17</v>
      </c>
      <c r="J21" s="266"/>
      <c r="K21" s="281"/>
      <c r="L21" s="281"/>
      <c r="M21" s="281">
        <v>200</v>
      </c>
      <c r="N21" s="281">
        <v>135</v>
      </c>
      <c r="O21" s="268">
        <f t="shared" si="1"/>
        <v>4198.3333333333339</v>
      </c>
      <c r="P21" s="269"/>
      <c r="Q21" s="269">
        <f t="shared" si="2"/>
        <v>4198.3333333333339</v>
      </c>
      <c r="R21" s="264"/>
      <c r="S21" s="296">
        <f t="shared" si="3"/>
        <v>4533.3333333333339</v>
      </c>
    </row>
    <row r="22" spans="1:19" s="270" customFormat="1" ht="15.75" customHeight="1" x14ac:dyDescent="0.25">
      <c r="A22" s="164">
        <v>17</v>
      </c>
      <c r="B22" s="264" t="s">
        <v>45</v>
      </c>
      <c r="C22" s="264" t="s">
        <v>187</v>
      </c>
      <c r="D22" s="264" t="s">
        <v>41</v>
      </c>
      <c r="E22" s="271" t="s">
        <v>93</v>
      </c>
      <c r="F22" s="265">
        <f t="shared" si="0"/>
        <v>200</v>
      </c>
      <c r="G22" s="265">
        <f t="shared" si="4"/>
        <v>3000</v>
      </c>
      <c r="H22" s="265">
        <v>6000</v>
      </c>
      <c r="I22" s="266">
        <v>15</v>
      </c>
      <c r="J22" s="266"/>
      <c r="K22" s="267"/>
      <c r="L22" s="267"/>
      <c r="M22" s="267">
        <v>150</v>
      </c>
      <c r="N22" s="267"/>
      <c r="O22" s="268">
        <f t="shared" si="1"/>
        <v>2850</v>
      </c>
      <c r="P22" s="272"/>
      <c r="Q22" s="269">
        <f t="shared" si="2"/>
        <v>2850</v>
      </c>
      <c r="R22" s="264"/>
      <c r="S22" s="296">
        <f t="shared" si="3"/>
        <v>3000</v>
      </c>
    </row>
    <row r="23" spans="1:19" s="270" customFormat="1" ht="15.75" customHeight="1" x14ac:dyDescent="0.25">
      <c r="A23" s="164">
        <v>18</v>
      </c>
      <c r="B23" s="264" t="s">
        <v>45</v>
      </c>
      <c r="C23" s="264" t="s">
        <v>187</v>
      </c>
      <c r="D23" s="264" t="s">
        <v>41</v>
      </c>
      <c r="E23" s="264" t="s">
        <v>53</v>
      </c>
      <c r="F23" s="265">
        <f t="shared" si="0"/>
        <v>266.66666666666669</v>
      </c>
      <c r="G23" s="265">
        <f t="shared" si="4"/>
        <v>4000</v>
      </c>
      <c r="H23" s="265">
        <v>8000</v>
      </c>
      <c r="I23" s="266">
        <v>13</v>
      </c>
      <c r="J23" s="266">
        <v>2</v>
      </c>
      <c r="K23" s="281"/>
      <c r="L23" s="281">
        <v>50</v>
      </c>
      <c r="M23" s="281"/>
      <c r="N23" s="281"/>
      <c r="O23" s="268">
        <f t="shared" si="1"/>
        <v>1850.606666666667</v>
      </c>
      <c r="P23" s="311">
        <v>1566.06</v>
      </c>
      <c r="Q23" s="269">
        <f t="shared" si="2"/>
        <v>3416.666666666667</v>
      </c>
      <c r="R23" s="264"/>
      <c r="S23" s="296">
        <f t="shared" si="3"/>
        <v>3466.666666666667</v>
      </c>
    </row>
    <row r="24" spans="1:19" s="261" customFormat="1" ht="15.75" customHeight="1" x14ac:dyDescent="0.25">
      <c r="A24" s="164">
        <v>19</v>
      </c>
      <c r="B24" s="254" t="s">
        <v>54</v>
      </c>
      <c r="C24" s="254" t="s">
        <v>20</v>
      </c>
      <c r="D24" s="254" t="s">
        <v>185</v>
      </c>
      <c r="E24" s="254" t="s">
        <v>55</v>
      </c>
      <c r="F24" s="253">
        <f t="shared" si="0"/>
        <v>266.66666666666669</v>
      </c>
      <c r="G24" s="253">
        <f t="shared" si="4"/>
        <v>4000</v>
      </c>
      <c r="H24" s="253">
        <v>8000</v>
      </c>
      <c r="I24" s="255">
        <v>15</v>
      </c>
      <c r="J24" s="255"/>
      <c r="K24" s="282"/>
      <c r="L24" s="282"/>
      <c r="M24" s="282"/>
      <c r="N24" s="282"/>
      <c r="O24" s="257">
        <f t="shared" si="1"/>
        <v>2433.9400000000005</v>
      </c>
      <c r="P24" s="311">
        <v>1566.06</v>
      </c>
      <c r="Q24" s="258">
        <f t="shared" si="2"/>
        <v>4000.0000000000005</v>
      </c>
      <c r="R24" s="254"/>
      <c r="S24" s="296">
        <f t="shared" si="3"/>
        <v>4000.0000000000005</v>
      </c>
    </row>
    <row r="25" spans="1:19" s="261" customFormat="1" ht="15.75" customHeight="1" x14ac:dyDescent="0.25">
      <c r="A25" s="164">
        <v>20</v>
      </c>
      <c r="B25" s="254" t="s">
        <v>54</v>
      </c>
      <c r="C25" s="254" t="s">
        <v>187</v>
      </c>
      <c r="D25" s="254" t="s">
        <v>41</v>
      </c>
      <c r="E25" s="254" t="s">
        <v>57</v>
      </c>
      <c r="F25" s="253">
        <f t="shared" si="0"/>
        <v>166.66666666666666</v>
      </c>
      <c r="G25" s="253">
        <f t="shared" si="4"/>
        <v>2500</v>
      </c>
      <c r="H25" s="253">
        <v>5000</v>
      </c>
      <c r="I25" s="255">
        <v>15</v>
      </c>
      <c r="J25" s="255"/>
      <c r="K25" s="282"/>
      <c r="L25" s="282"/>
      <c r="M25" s="282"/>
      <c r="N25" s="282"/>
      <c r="O25" s="257">
        <f t="shared" si="1"/>
        <v>2500</v>
      </c>
      <c r="P25" s="258"/>
      <c r="Q25" s="258">
        <f t="shared" si="2"/>
        <v>2500</v>
      </c>
      <c r="R25" s="254"/>
      <c r="S25" s="296">
        <f t="shared" si="3"/>
        <v>2500</v>
      </c>
    </row>
    <row r="26" spans="1:19" s="261" customFormat="1" ht="15.75" customHeight="1" x14ac:dyDescent="0.25">
      <c r="A26" s="164">
        <v>21</v>
      </c>
      <c r="B26" s="254" t="s">
        <v>54</v>
      </c>
      <c r="C26" s="254" t="s">
        <v>187</v>
      </c>
      <c r="D26" s="254" t="s">
        <v>48</v>
      </c>
      <c r="E26" s="254" t="s">
        <v>58</v>
      </c>
      <c r="F26" s="253">
        <f t="shared" si="0"/>
        <v>200</v>
      </c>
      <c r="G26" s="253">
        <f t="shared" si="4"/>
        <v>3000</v>
      </c>
      <c r="H26" s="253">
        <v>6000</v>
      </c>
      <c r="I26" s="255">
        <v>15</v>
      </c>
      <c r="J26" s="255"/>
      <c r="K26" s="256"/>
      <c r="L26" s="256"/>
      <c r="M26" s="256"/>
      <c r="N26" s="256"/>
      <c r="O26" s="257">
        <f t="shared" si="1"/>
        <v>3000</v>
      </c>
      <c r="P26" s="258"/>
      <c r="Q26" s="258">
        <f t="shared" si="2"/>
        <v>3000</v>
      </c>
      <c r="R26" s="254"/>
      <c r="S26" s="296">
        <f t="shared" si="3"/>
        <v>3000</v>
      </c>
    </row>
    <row r="27" spans="1:19" s="261" customFormat="1" ht="15.75" customHeight="1" x14ac:dyDescent="0.25">
      <c r="A27" s="164">
        <v>22</v>
      </c>
      <c r="B27" s="254" t="s">
        <v>59</v>
      </c>
      <c r="C27" s="254" t="s">
        <v>20</v>
      </c>
      <c r="D27" s="254" t="s">
        <v>216</v>
      </c>
      <c r="E27" s="254" t="s">
        <v>129</v>
      </c>
      <c r="F27" s="253">
        <f t="shared" si="0"/>
        <v>266.66666666666669</v>
      </c>
      <c r="G27" s="253">
        <f t="shared" si="4"/>
        <v>4000</v>
      </c>
      <c r="H27" s="253">
        <v>8000</v>
      </c>
      <c r="I27" s="255">
        <v>15</v>
      </c>
      <c r="J27" s="255"/>
      <c r="K27" s="282"/>
      <c r="L27" s="282">
        <v>50</v>
      </c>
      <c r="M27" s="282"/>
      <c r="N27" s="282">
        <v>135</v>
      </c>
      <c r="O27" s="257">
        <f t="shared" si="1"/>
        <v>3815.0000000000005</v>
      </c>
      <c r="P27" s="258"/>
      <c r="Q27" s="258">
        <f t="shared" si="2"/>
        <v>3815.0000000000005</v>
      </c>
      <c r="R27" s="254"/>
      <c r="S27" s="296">
        <f t="shared" si="3"/>
        <v>4000.0000000000005</v>
      </c>
    </row>
    <row r="28" spans="1:19" s="261" customFormat="1" ht="15.75" customHeight="1" x14ac:dyDescent="0.25">
      <c r="A28" s="255">
        <v>23</v>
      </c>
      <c r="B28" s="254" t="s">
        <v>59</v>
      </c>
      <c r="C28" s="254" t="s">
        <v>187</v>
      </c>
      <c r="D28" s="254" t="s">
        <v>48</v>
      </c>
      <c r="E28" s="254" t="s">
        <v>49</v>
      </c>
      <c r="F28" s="253">
        <f t="shared" si="0"/>
        <v>200</v>
      </c>
      <c r="G28" s="253">
        <f t="shared" si="4"/>
        <v>3000</v>
      </c>
      <c r="H28" s="253">
        <v>6000</v>
      </c>
      <c r="I28" s="255">
        <v>15</v>
      </c>
      <c r="J28" s="255"/>
      <c r="K28" s="282">
        <f>565</f>
        <v>565</v>
      </c>
      <c r="L28" s="282">
        <v>350</v>
      </c>
      <c r="M28" s="282"/>
      <c r="N28" s="282"/>
      <c r="O28" s="257">
        <f t="shared" si="1"/>
        <v>2085</v>
      </c>
      <c r="P28" s="258"/>
      <c r="Q28" s="258">
        <f t="shared" si="2"/>
        <v>2085</v>
      </c>
      <c r="R28" s="254"/>
      <c r="S28" s="296">
        <f t="shared" si="3"/>
        <v>3000</v>
      </c>
    </row>
    <row r="29" spans="1:19" s="261" customFormat="1" ht="15.75" customHeight="1" x14ac:dyDescent="0.25">
      <c r="A29" s="255">
        <v>24</v>
      </c>
      <c r="B29" s="254" t="s">
        <v>59</v>
      </c>
      <c r="C29" s="254" t="s">
        <v>187</v>
      </c>
      <c r="D29" s="254" t="s">
        <v>186</v>
      </c>
      <c r="E29" s="262" t="s">
        <v>62</v>
      </c>
      <c r="F29" s="253">
        <f t="shared" si="0"/>
        <v>200</v>
      </c>
      <c r="G29" s="253">
        <f t="shared" si="4"/>
        <v>3000</v>
      </c>
      <c r="H29" s="253">
        <v>6000</v>
      </c>
      <c r="I29" s="255">
        <v>16</v>
      </c>
      <c r="J29" s="255"/>
      <c r="K29" s="256"/>
      <c r="L29" s="256">
        <v>250</v>
      </c>
      <c r="M29" s="256"/>
      <c r="N29" s="256"/>
      <c r="O29" s="257">
        <f t="shared" si="1"/>
        <v>2950</v>
      </c>
      <c r="P29" s="258"/>
      <c r="Q29" s="258">
        <f t="shared" si="2"/>
        <v>2950</v>
      </c>
      <c r="R29" s="254"/>
      <c r="S29" s="296">
        <f t="shared" si="3"/>
        <v>3200</v>
      </c>
    </row>
    <row r="30" spans="1:19" s="261" customFormat="1" ht="15.75" customHeight="1" x14ac:dyDescent="0.25">
      <c r="A30" s="255">
        <v>25</v>
      </c>
      <c r="B30" s="254" t="s">
        <v>59</v>
      </c>
      <c r="C30" s="254" t="s">
        <v>187</v>
      </c>
      <c r="D30" s="254" t="s">
        <v>48</v>
      </c>
      <c r="E30" s="262" t="s">
        <v>63</v>
      </c>
      <c r="F30" s="253">
        <f t="shared" si="0"/>
        <v>200</v>
      </c>
      <c r="G30" s="253">
        <f t="shared" si="4"/>
        <v>3000</v>
      </c>
      <c r="H30" s="253">
        <v>6000</v>
      </c>
      <c r="I30" s="255">
        <v>15</v>
      </c>
      <c r="J30" s="255"/>
      <c r="K30" s="256"/>
      <c r="L30" s="256"/>
      <c r="M30" s="256"/>
      <c r="N30" s="256"/>
      <c r="O30" s="257">
        <f t="shared" si="1"/>
        <v>3000</v>
      </c>
      <c r="P30" s="258"/>
      <c r="Q30" s="258">
        <f t="shared" si="2"/>
        <v>3000</v>
      </c>
      <c r="R30" s="254"/>
      <c r="S30" s="296">
        <f t="shared" si="3"/>
        <v>3000</v>
      </c>
    </row>
    <row r="31" spans="1:19" s="270" customFormat="1" ht="15.75" customHeight="1" x14ac:dyDescent="0.25">
      <c r="A31" s="266">
        <v>26</v>
      </c>
      <c r="B31" s="264" t="s">
        <v>59</v>
      </c>
      <c r="C31" s="264" t="s">
        <v>65</v>
      </c>
      <c r="D31" s="264" t="s">
        <v>66</v>
      </c>
      <c r="E31" s="273" t="s">
        <v>184</v>
      </c>
      <c r="F31" s="265">
        <f t="shared" si="0"/>
        <v>200</v>
      </c>
      <c r="G31" s="265">
        <f t="shared" si="4"/>
        <v>3000</v>
      </c>
      <c r="H31" s="265">
        <v>6000</v>
      </c>
      <c r="I31" s="266">
        <v>7</v>
      </c>
      <c r="J31" s="266"/>
      <c r="K31" s="281">
        <v>400</v>
      </c>
      <c r="L31" s="281">
        <v>150</v>
      </c>
      <c r="M31" s="281"/>
      <c r="N31" s="281">
        <v>270</v>
      </c>
      <c r="O31" s="268">
        <f t="shared" si="1"/>
        <v>580</v>
      </c>
      <c r="P31" s="269"/>
      <c r="Q31" s="269">
        <f t="shared" si="2"/>
        <v>580</v>
      </c>
      <c r="R31" s="264"/>
      <c r="S31" s="296">
        <f t="shared" si="3"/>
        <v>1400</v>
      </c>
    </row>
    <row r="32" spans="1:19" s="270" customFormat="1" ht="15.75" customHeight="1" x14ac:dyDescent="0.25">
      <c r="A32" s="266">
        <v>27</v>
      </c>
      <c r="B32" s="264" t="s">
        <v>64</v>
      </c>
      <c r="C32" s="264" t="s">
        <v>20</v>
      </c>
      <c r="D32" s="264" t="s">
        <v>185</v>
      </c>
      <c r="E32" s="273" t="s">
        <v>44</v>
      </c>
      <c r="F32" s="265">
        <f t="shared" si="0"/>
        <v>200</v>
      </c>
      <c r="G32" s="265">
        <f t="shared" si="4"/>
        <v>3000</v>
      </c>
      <c r="H32" s="265">
        <v>6000</v>
      </c>
      <c r="I32" s="266">
        <v>15</v>
      </c>
      <c r="J32" s="266"/>
      <c r="K32" s="281"/>
      <c r="L32" s="281"/>
      <c r="M32" s="281">
        <v>50</v>
      </c>
      <c r="N32" s="281"/>
      <c r="O32" s="268">
        <f t="shared" si="1"/>
        <v>2950</v>
      </c>
      <c r="P32" s="269"/>
      <c r="Q32" s="269">
        <f t="shared" si="2"/>
        <v>2950</v>
      </c>
      <c r="R32" s="264"/>
      <c r="S32" s="296">
        <f t="shared" si="3"/>
        <v>3000</v>
      </c>
    </row>
    <row r="33" spans="1:19" s="270" customFormat="1" ht="15.75" customHeight="1" x14ac:dyDescent="0.25">
      <c r="A33" s="266">
        <v>28</v>
      </c>
      <c r="B33" s="264" t="s">
        <v>64</v>
      </c>
      <c r="C33" s="264" t="s">
        <v>40</v>
      </c>
      <c r="D33" s="264" t="s">
        <v>74</v>
      </c>
      <c r="E33" s="264" t="s">
        <v>76</v>
      </c>
      <c r="F33" s="265">
        <f t="shared" si="0"/>
        <v>200</v>
      </c>
      <c r="G33" s="265">
        <f t="shared" si="4"/>
        <v>3000</v>
      </c>
      <c r="H33" s="265">
        <v>6000</v>
      </c>
      <c r="I33" s="266">
        <v>15</v>
      </c>
      <c r="J33" s="266"/>
      <c r="K33" s="281"/>
      <c r="L33" s="281"/>
      <c r="M33" s="281"/>
      <c r="N33" s="281">
        <v>135</v>
      </c>
      <c r="O33" s="268">
        <f t="shared" si="1"/>
        <v>2865</v>
      </c>
      <c r="P33" s="269"/>
      <c r="Q33" s="269">
        <f t="shared" si="2"/>
        <v>2865</v>
      </c>
      <c r="R33" s="264"/>
      <c r="S33" s="296">
        <f t="shared" si="3"/>
        <v>3000</v>
      </c>
    </row>
    <row r="34" spans="1:19" s="270" customFormat="1" ht="15.75" customHeight="1" x14ac:dyDescent="0.25">
      <c r="A34" s="266">
        <v>29</v>
      </c>
      <c r="B34" s="264" t="s">
        <v>19</v>
      </c>
      <c r="C34" s="264" t="s">
        <v>40</v>
      </c>
      <c r="D34" s="264" t="s">
        <v>189</v>
      </c>
      <c r="E34" s="264" t="s">
        <v>71</v>
      </c>
      <c r="F34" s="265">
        <f t="shared" si="0"/>
        <v>266.66666666666669</v>
      </c>
      <c r="G34" s="265">
        <f t="shared" si="4"/>
        <v>4000</v>
      </c>
      <c r="H34" s="265">
        <v>8000</v>
      </c>
      <c r="I34" s="266">
        <v>15</v>
      </c>
      <c r="J34" s="266"/>
      <c r="K34" s="267">
        <f>659</f>
        <v>659</v>
      </c>
      <c r="L34" s="267"/>
      <c r="M34" s="267"/>
      <c r="N34" s="267">
        <v>200</v>
      </c>
      <c r="O34" s="268">
        <f t="shared" si="1"/>
        <v>3141.0000000000005</v>
      </c>
      <c r="P34" s="269"/>
      <c r="Q34" s="269">
        <f t="shared" si="2"/>
        <v>3141.0000000000005</v>
      </c>
      <c r="R34" s="264"/>
      <c r="S34" s="296">
        <f t="shared" si="3"/>
        <v>4000.0000000000005</v>
      </c>
    </row>
    <row r="35" spans="1:19" s="261" customFormat="1" ht="15.75" customHeight="1" x14ac:dyDescent="0.25">
      <c r="A35" s="164">
        <v>30</v>
      </c>
      <c r="B35" s="254" t="s">
        <v>72</v>
      </c>
      <c r="C35" s="254" t="s">
        <v>20</v>
      </c>
      <c r="D35" s="254" t="s">
        <v>185</v>
      </c>
      <c r="E35" s="254" t="s">
        <v>124</v>
      </c>
      <c r="F35" s="253">
        <f t="shared" si="0"/>
        <v>333.33333333333331</v>
      </c>
      <c r="G35" s="253">
        <f t="shared" si="4"/>
        <v>5000</v>
      </c>
      <c r="H35" s="253">
        <v>10000</v>
      </c>
      <c r="I35" s="255">
        <v>15</v>
      </c>
      <c r="J35" s="255"/>
      <c r="K35" s="282">
        <v>915.84</v>
      </c>
      <c r="L35" s="282"/>
      <c r="M35" s="282"/>
      <c r="N35" s="282"/>
      <c r="O35" s="257">
        <f t="shared" si="1"/>
        <v>4084.16</v>
      </c>
      <c r="P35" s="258"/>
      <c r="Q35" s="258">
        <f t="shared" si="2"/>
        <v>4084.16</v>
      </c>
      <c r="R35" s="254"/>
      <c r="S35" s="296">
        <f t="shared" si="3"/>
        <v>5000</v>
      </c>
    </row>
    <row r="36" spans="1:19" s="261" customFormat="1" ht="15.75" customHeight="1" x14ac:dyDescent="0.25">
      <c r="A36" s="164">
        <v>31</v>
      </c>
      <c r="B36" s="254" t="s">
        <v>72</v>
      </c>
      <c r="C36" s="254" t="s">
        <v>187</v>
      </c>
      <c r="D36" s="254" t="s">
        <v>41</v>
      </c>
      <c r="E36" s="254" t="s">
        <v>135</v>
      </c>
      <c r="F36" s="253">
        <f t="shared" si="0"/>
        <v>200</v>
      </c>
      <c r="G36" s="253">
        <f t="shared" si="4"/>
        <v>3000</v>
      </c>
      <c r="H36" s="253">
        <v>6000</v>
      </c>
      <c r="I36" s="255">
        <v>15</v>
      </c>
      <c r="J36" s="255"/>
      <c r="K36" s="256"/>
      <c r="L36" s="256"/>
      <c r="M36" s="256"/>
      <c r="N36" s="256"/>
      <c r="O36" s="257">
        <f t="shared" si="1"/>
        <v>3000</v>
      </c>
      <c r="P36" s="258"/>
      <c r="Q36" s="258">
        <f t="shared" si="2"/>
        <v>3000</v>
      </c>
      <c r="R36" s="254"/>
      <c r="S36" s="296">
        <f t="shared" si="3"/>
        <v>3000</v>
      </c>
    </row>
    <row r="37" spans="1:19" s="261" customFormat="1" ht="15.75" customHeight="1" x14ac:dyDescent="0.25">
      <c r="A37" s="164">
        <v>32</v>
      </c>
      <c r="B37" s="254" t="s">
        <v>72</v>
      </c>
      <c r="C37" s="254" t="s">
        <v>20</v>
      </c>
      <c r="D37" s="254" t="s">
        <v>51</v>
      </c>
      <c r="E37" s="254" t="s">
        <v>104</v>
      </c>
      <c r="F37" s="253">
        <f t="shared" si="0"/>
        <v>200</v>
      </c>
      <c r="G37" s="253">
        <f t="shared" si="4"/>
        <v>3000</v>
      </c>
      <c r="H37" s="253">
        <v>6000</v>
      </c>
      <c r="I37" s="255">
        <v>13</v>
      </c>
      <c r="J37" s="255">
        <v>2</v>
      </c>
      <c r="K37" s="282">
        <v>1000</v>
      </c>
      <c r="L37" s="282"/>
      <c r="M37" s="282">
        <v>50</v>
      </c>
      <c r="N37" s="282"/>
      <c r="O37" s="257">
        <f t="shared" si="1"/>
        <v>1550</v>
      </c>
      <c r="P37" s="258"/>
      <c r="Q37" s="258">
        <f t="shared" si="2"/>
        <v>1550</v>
      </c>
      <c r="R37" s="254"/>
      <c r="S37" s="296">
        <f t="shared" si="3"/>
        <v>2600</v>
      </c>
    </row>
    <row r="38" spans="1:19" s="261" customFormat="1" ht="16.5" customHeight="1" x14ac:dyDescent="0.25">
      <c r="A38" s="164">
        <v>33</v>
      </c>
      <c r="B38" s="254" t="s">
        <v>100</v>
      </c>
      <c r="C38" s="254" t="s">
        <v>40</v>
      </c>
      <c r="D38" s="254" t="s">
        <v>186</v>
      </c>
      <c r="E38" s="254" t="s">
        <v>125</v>
      </c>
      <c r="F38" s="253">
        <f t="shared" ref="F38:F69" si="5">G38/15</f>
        <v>200</v>
      </c>
      <c r="G38" s="253">
        <f t="shared" si="4"/>
        <v>3000</v>
      </c>
      <c r="H38" s="253">
        <v>6000</v>
      </c>
      <c r="I38" s="255">
        <v>12</v>
      </c>
      <c r="J38" s="255">
        <v>3</v>
      </c>
      <c r="K38" s="282"/>
      <c r="L38" s="282">
        <v>200</v>
      </c>
      <c r="M38" s="282"/>
      <c r="N38" s="282"/>
      <c r="O38" s="257">
        <f t="shared" ref="O38:O69" si="6">Q38-P38</f>
        <v>2200</v>
      </c>
      <c r="P38" s="258"/>
      <c r="Q38" s="258">
        <f t="shared" ref="Q38:Q69" si="7">(I38*F38)-(K38+L38+M38+N38)</f>
        <v>2200</v>
      </c>
      <c r="R38" s="254"/>
      <c r="S38" s="296">
        <f t="shared" si="3"/>
        <v>2400</v>
      </c>
    </row>
    <row r="39" spans="1:19" s="261" customFormat="1" ht="15.75" customHeight="1" x14ac:dyDescent="0.25">
      <c r="A39" s="164">
        <v>34</v>
      </c>
      <c r="B39" s="254" t="s">
        <v>72</v>
      </c>
      <c r="C39" s="254" t="s">
        <v>40</v>
      </c>
      <c r="D39" s="254" t="s">
        <v>186</v>
      </c>
      <c r="E39" s="254" t="s">
        <v>138</v>
      </c>
      <c r="F39" s="253">
        <f t="shared" si="5"/>
        <v>200</v>
      </c>
      <c r="G39" s="253">
        <f t="shared" si="4"/>
        <v>3000</v>
      </c>
      <c r="H39" s="253">
        <v>6000</v>
      </c>
      <c r="I39" s="255">
        <v>12</v>
      </c>
      <c r="J39" s="255">
        <v>3</v>
      </c>
      <c r="K39" s="256"/>
      <c r="L39" s="256"/>
      <c r="M39" s="256"/>
      <c r="N39" s="256"/>
      <c r="O39" s="257">
        <f t="shared" si="6"/>
        <v>2400</v>
      </c>
      <c r="P39" s="258"/>
      <c r="Q39" s="258">
        <f t="shared" si="7"/>
        <v>2400</v>
      </c>
      <c r="R39" s="254"/>
      <c r="S39" s="296">
        <f t="shared" si="3"/>
        <v>2400</v>
      </c>
    </row>
    <row r="40" spans="1:19" s="261" customFormat="1" ht="15.75" customHeight="1" x14ac:dyDescent="0.25">
      <c r="A40" s="164">
        <v>35</v>
      </c>
      <c r="B40" s="254" t="s">
        <v>72</v>
      </c>
      <c r="C40" s="254" t="s">
        <v>187</v>
      </c>
      <c r="D40" s="254" t="s">
        <v>48</v>
      </c>
      <c r="E40" s="254" t="s">
        <v>78</v>
      </c>
      <c r="F40" s="253">
        <f t="shared" si="5"/>
        <v>200</v>
      </c>
      <c r="G40" s="253">
        <f t="shared" si="4"/>
        <v>3000</v>
      </c>
      <c r="H40" s="253">
        <v>6000</v>
      </c>
      <c r="I40" s="255">
        <v>13</v>
      </c>
      <c r="J40" s="255">
        <v>2</v>
      </c>
      <c r="K40" s="256"/>
      <c r="L40" s="256"/>
      <c r="M40" s="256"/>
      <c r="N40" s="256"/>
      <c r="O40" s="257">
        <f t="shared" si="6"/>
        <v>2600</v>
      </c>
      <c r="P40" s="258"/>
      <c r="Q40" s="258">
        <f t="shared" si="7"/>
        <v>2600</v>
      </c>
      <c r="R40" s="254"/>
      <c r="S40" s="296">
        <f t="shared" si="3"/>
        <v>2600</v>
      </c>
    </row>
    <row r="41" spans="1:19" s="261" customFormat="1" ht="15.75" customHeight="1" x14ac:dyDescent="0.25">
      <c r="A41" s="164">
        <v>36</v>
      </c>
      <c r="B41" s="254" t="s">
        <v>72</v>
      </c>
      <c r="C41" s="254" t="s">
        <v>121</v>
      </c>
      <c r="D41" s="254" t="s">
        <v>80</v>
      </c>
      <c r="E41" s="254" t="s">
        <v>81</v>
      </c>
      <c r="F41" s="253">
        <f t="shared" si="5"/>
        <v>233.33333333333334</v>
      </c>
      <c r="G41" s="253">
        <f t="shared" si="4"/>
        <v>3500</v>
      </c>
      <c r="H41" s="253">
        <v>7000</v>
      </c>
      <c r="I41" s="255">
        <v>15</v>
      </c>
      <c r="J41" s="255"/>
      <c r="K41" s="282"/>
      <c r="L41" s="282"/>
      <c r="M41" s="282"/>
      <c r="N41" s="282"/>
      <c r="O41" s="257">
        <f t="shared" si="6"/>
        <v>3500</v>
      </c>
      <c r="P41" s="258"/>
      <c r="Q41" s="258">
        <f t="shared" si="7"/>
        <v>3500</v>
      </c>
      <c r="R41" s="254"/>
      <c r="S41" s="296">
        <f t="shared" si="3"/>
        <v>3500</v>
      </c>
    </row>
    <row r="42" spans="1:19" s="270" customFormat="1" ht="15.75" customHeight="1" x14ac:dyDescent="0.25">
      <c r="A42" s="164">
        <v>37</v>
      </c>
      <c r="B42" s="264" t="s">
        <v>82</v>
      </c>
      <c r="C42" s="264" t="s">
        <v>65</v>
      </c>
      <c r="D42" s="264" t="s">
        <v>66</v>
      </c>
      <c r="E42" s="254" t="s">
        <v>127</v>
      </c>
      <c r="F42" s="265">
        <f t="shared" si="5"/>
        <v>166.66666666666666</v>
      </c>
      <c r="G42" s="265">
        <f t="shared" si="4"/>
        <v>2500</v>
      </c>
      <c r="H42" s="265">
        <v>5000</v>
      </c>
      <c r="I42" s="266">
        <v>15</v>
      </c>
      <c r="J42" s="266"/>
      <c r="K42" s="281"/>
      <c r="L42" s="281"/>
      <c r="M42" s="281"/>
      <c r="N42" s="281"/>
      <c r="O42" s="268">
        <f t="shared" si="6"/>
        <v>2500</v>
      </c>
      <c r="P42" s="269"/>
      <c r="Q42" s="269">
        <f t="shared" si="7"/>
        <v>2500</v>
      </c>
      <c r="R42" s="264"/>
      <c r="S42" s="296">
        <f t="shared" si="3"/>
        <v>2500</v>
      </c>
    </row>
    <row r="43" spans="1:19" s="270" customFormat="1" ht="15.75" customHeight="1" x14ac:dyDescent="0.25">
      <c r="A43" s="164">
        <v>38</v>
      </c>
      <c r="B43" s="264" t="s">
        <v>82</v>
      </c>
      <c r="C43" s="264" t="s">
        <v>187</v>
      </c>
      <c r="D43" s="264" t="s">
        <v>193</v>
      </c>
      <c r="E43" s="254" t="s">
        <v>86</v>
      </c>
      <c r="F43" s="265">
        <f t="shared" si="5"/>
        <v>200</v>
      </c>
      <c r="G43" s="265">
        <f t="shared" si="4"/>
        <v>3000</v>
      </c>
      <c r="H43" s="265">
        <v>6000</v>
      </c>
      <c r="I43" s="266">
        <v>15</v>
      </c>
      <c r="J43" s="266"/>
      <c r="K43" s="267"/>
      <c r="L43" s="267"/>
      <c r="M43" s="267"/>
      <c r="N43" s="267"/>
      <c r="O43" s="268">
        <f t="shared" si="6"/>
        <v>3000</v>
      </c>
      <c r="P43" s="269"/>
      <c r="Q43" s="269">
        <f t="shared" si="7"/>
        <v>3000</v>
      </c>
      <c r="R43" s="264"/>
      <c r="S43" s="296">
        <f t="shared" si="3"/>
        <v>3000</v>
      </c>
    </row>
    <row r="44" spans="1:19" s="270" customFormat="1" ht="15.75" customHeight="1" x14ac:dyDescent="0.25">
      <c r="A44" s="164">
        <v>39</v>
      </c>
      <c r="B44" s="264" t="s">
        <v>82</v>
      </c>
      <c r="C44" s="264" t="s">
        <v>65</v>
      </c>
      <c r="D44" s="264" t="s">
        <v>66</v>
      </c>
      <c r="E44" s="254" t="s">
        <v>201</v>
      </c>
      <c r="F44" s="265">
        <f t="shared" si="5"/>
        <v>166.66666666666666</v>
      </c>
      <c r="G44" s="265">
        <f t="shared" si="4"/>
        <v>2500</v>
      </c>
      <c r="H44" s="265">
        <v>5000</v>
      </c>
      <c r="I44" s="266">
        <v>9</v>
      </c>
      <c r="J44" s="266"/>
      <c r="K44" s="281"/>
      <c r="L44" s="281"/>
      <c r="M44" s="281"/>
      <c r="N44" s="281">
        <v>135</v>
      </c>
      <c r="O44" s="268">
        <f t="shared" si="6"/>
        <v>1365</v>
      </c>
      <c r="P44" s="269"/>
      <c r="Q44" s="269">
        <f t="shared" si="7"/>
        <v>1365</v>
      </c>
      <c r="R44" s="264"/>
      <c r="S44" s="296">
        <f t="shared" si="3"/>
        <v>1500</v>
      </c>
    </row>
    <row r="45" spans="1:19" s="270" customFormat="1" ht="15.75" customHeight="1" x14ac:dyDescent="0.25">
      <c r="A45" s="164">
        <v>40</v>
      </c>
      <c r="B45" s="265" t="s">
        <v>88</v>
      </c>
      <c r="C45" s="265" t="s">
        <v>187</v>
      </c>
      <c r="D45" s="265" t="s">
        <v>41</v>
      </c>
      <c r="E45" s="265" t="s">
        <v>111</v>
      </c>
      <c r="F45" s="265">
        <f t="shared" si="5"/>
        <v>200</v>
      </c>
      <c r="G45" s="265">
        <f t="shared" si="4"/>
        <v>3000</v>
      </c>
      <c r="H45" s="265">
        <v>6000</v>
      </c>
      <c r="I45" s="266">
        <v>12</v>
      </c>
      <c r="J45" s="266">
        <v>3</v>
      </c>
      <c r="K45" s="267"/>
      <c r="L45" s="267"/>
      <c r="M45" s="267"/>
      <c r="N45" s="267">
        <v>135</v>
      </c>
      <c r="O45" s="268">
        <f t="shared" si="6"/>
        <v>2265</v>
      </c>
      <c r="P45" s="269"/>
      <c r="Q45" s="269">
        <f t="shared" si="7"/>
        <v>2265</v>
      </c>
      <c r="R45" s="264"/>
      <c r="S45" s="296">
        <f t="shared" si="3"/>
        <v>2400</v>
      </c>
    </row>
    <row r="46" spans="1:19" s="261" customFormat="1" ht="15.75" customHeight="1" x14ac:dyDescent="0.25">
      <c r="A46" s="164">
        <v>41</v>
      </c>
      <c r="B46" s="254" t="s">
        <v>88</v>
      </c>
      <c r="C46" s="254" t="s">
        <v>20</v>
      </c>
      <c r="D46" s="254" t="s">
        <v>185</v>
      </c>
      <c r="E46" s="254" t="s">
        <v>91</v>
      </c>
      <c r="F46" s="253">
        <f t="shared" si="5"/>
        <v>333.33333333333331</v>
      </c>
      <c r="G46" s="253">
        <f t="shared" si="4"/>
        <v>5000</v>
      </c>
      <c r="H46" s="253">
        <v>10000</v>
      </c>
      <c r="I46" s="255">
        <v>15</v>
      </c>
      <c r="J46" s="255"/>
      <c r="K46" s="256"/>
      <c r="L46" s="256">
        <v>166.66</v>
      </c>
      <c r="M46" s="256"/>
      <c r="N46" s="256"/>
      <c r="O46" s="257">
        <f t="shared" si="6"/>
        <v>4833.34</v>
      </c>
      <c r="P46" s="258"/>
      <c r="Q46" s="258">
        <f t="shared" si="7"/>
        <v>4833.34</v>
      </c>
      <c r="R46" s="254"/>
      <c r="S46" s="296">
        <f t="shared" si="3"/>
        <v>5000</v>
      </c>
    </row>
    <row r="47" spans="1:19" s="261" customFormat="1" ht="15.75" customHeight="1" x14ac:dyDescent="0.25">
      <c r="A47" s="164">
        <v>42</v>
      </c>
      <c r="B47" s="254" t="s">
        <v>88</v>
      </c>
      <c r="C47" s="254" t="s">
        <v>40</v>
      </c>
      <c r="D47" s="254" t="s">
        <v>186</v>
      </c>
      <c r="E47" s="254" t="s">
        <v>209</v>
      </c>
      <c r="F47" s="253">
        <f t="shared" si="5"/>
        <v>200</v>
      </c>
      <c r="G47" s="253">
        <f t="shared" ref="G47:G76" si="8">H47/2</f>
        <v>3000</v>
      </c>
      <c r="H47" s="253">
        <v>6000</v>
      </c>
      <c r="I47" s="255">
        <v>5</v>
      </c>
      <c r="J47" s="255"/>
      <c r="K47" s="274"/>
      <c r="L47" s="274"/>
      <c r="M47" s="274"/>
      <c r="N47" s="274"/>
      <c r="O47" s="257"/>
      <c r="P47" s="258"/>
      <c r="Q47" s="258"/>
      <c r="R47" s="254"/>
      <c r="S47" s="296"/>
    </row>
    <row r="48" spans="1:19" s="261" customFormat="1" ht="15.75" customHeight="1" x14ac:dyDescent="0.25">
      <c r="A48" s="164">
        <v>43</v>
      </c>
      <c r="B48" s="254" t="s">
        <v>88</v>
      </c>
      <c r="C48" s="254" t="s">
        <v>20</v>
      </c>
      <c r="D48" s="254" t="s">
        <v>51</v>
      </c>
      <c r="E48" s="254" t="s">
        <v>114</v>
      </c>
      <c r="F48" s="253">
        <f t="shared" si="5"/>
        <v>166.66666666666666</v>
      </c>
      <c r="G48" s="253">
        <f t="shared" si="8"/>
        <v>2500</v>
      </c>
      <c r="H48" s="253">
        <v>5000</v>
      </c>
      <c r="I48" s="255">
        <v>15</v>
      </c>
      <c r="J48" s="255"/>
      <c r="K48" s="282"/>
      <c r="L48" s="282"/>
      <c r="M48" s="282">
        <v>50</v>
      </c>
      <c r="N48" s="282"/>
      <c r="O48" s="257">
        <f t="shared" si="6"/>
        <v>2450</v>
      </c>
      <c r="P48" s="258"/>
      <c r="Q48" s="258">
        <f t="shared" si="7"/>
        <v>2450</v>
      </c>
      <c r="R48" s="254"/>
      <c r="S48" s="296">
        <f t="shared" si="3"/>
        <v>2500</v>
      </c>
    </row>
    <row r="49" spans="1:38" s="261" customFormat="1" ht="15.75" customHeight="1" x14ac:dyDescent="0.25">
      <c r="A49" s="164">
        <v>44</v>
      </c>
      <c r="B49" s="254" t="s">
        <v>72</v>
      </c>
      <c r="C49" s="254" t="s">
        <v>40</v>
      </c>
      <c r="D49" s="254" t="s">
        <v>41</v>
      </c>
      <c r="E49" s="254" t="s">
        <v>115</v>
      </c>
      <c r="F49" s="253">
        <f t="shared" si="5"/>
        <v>200</v>
      </c>
      <c r="G49" s="253">
        <f t="shared" si="8"/>
        <v>3000</v>
      </c>
      <c r="H49" s="253">
        <v>6000</v>
      </c>
      <c r="I49" s="255">
        <v>15</v>
      </c>
      <c r="J49" s="255"/>
      <c r="K49" s="256"/>
      <c r="L49" s="256">
        <v>100</v>
      </c>
      <c r="M49" s="256"/>
      <c r="N49" s="256"/>
      <c r="O49" s="257">
        <f t="shared" si="6"/>
        <v>2900</v>
      </c>
      <c r="P49" s="258"/>
      <c r="Q49" s="258">
        <f t="shared" si="7"/>
        <v>2900</v>
      </c>
      <c r="R49" s="254"/>
      <c r="S49" s="296">
        <f t="shared" si="3"/>
        <v>3000</v>
      </c>
    </row>
    <row r="50" spans="1:38" s="261" customFormat="1" ht="15.75" customHeight="1" x14ac:dyDescent="0.25">
      <c r="A50" s="164">
        <v>45</v>
      </c>
      <c r="B50" s="254" t="s">
        <v>88</v>
      </c>
      <c r="C50" s="254" t="s">
        <v>187</v>
      </c>
      <c r="D50" s="254" t="s">
        <v>94</v>
      </c>
      <c r="E50" s="254" t="s">
        <v>95</v>
      </c>
      <c r="F50" s="253">
        <f t="shared" si="5"/>
        <v>233.33333333333334</v>
      </c>
      <c r="G50" s="253">
        <f t="shared" si="8"/>
        <v>3500</v>
      </c>
      <c r="H50" s="253">
        <v>7000</v>
      </c>
      <c r="I50" s="255">
        <v>15</v>
      </c>
      <c r="J50" s="255"/>
      <c r="K50" s="256">
        <v>500</v>
      </c>
      <c r="L50" s="282"/>
      <c r="M50" s="256"/>
      <c r="N50" s="256">
        <v>135</v>
      </c>
      <c r="O50" s="257">
        <f t="shared" si="6"/>
        <v>2865</v>
      </c>
      <c r="P50" s="275"/>
      <c r="Q50" s="258">
        <f t="shared" si="7"/>
        <v>2865</v>
      </c>
      <c r="R50" s="254"/>
      <c r="S50" s="296">
        <f t="shared" si="3"/>
        <v>3500</v>
      </c>
    </row>
    <row r="51" spans="1:38" s="261" customFormat="1" ht="15.75" customHeight="1" x14ac:dyDescent="0.25">
      <c r="A51" s="164">
        <v>46</v>
      </c>
      <c r="B51" s="262" t="s">
        <v>100</v>
      </c>
      <c r="C51" s="262" t="s">
        <v>79</v>
      </c>
      <c r="D51" s="262" t="s">
        <v>80</v>
      </c>
      <c r="E51" s="254" t="s">
        <v>96</v>
      </c>
      <c r="F51" s="253">
        <f t="shared" si="5"/>
        <v>233.33333333333334</v>
      </c>
      <c r="G51" s="253">
        <f t="shared" si="8"/>
        <v>3500</v>
      </c>
      <c r="H51" s="253">
        <v>7000</v>
      </c>
      <c r="I51" s="255">
        <v>15</v>
      </c>
      <c r="J51" s="255"/>
      <c r="K51" s="282"/>
      <c r="L51" s="282"/>
      <c r="M51" s="282"/>
      <c r="N51" s="282"/>
      <c r="O51" s="257">
        <f t="shared" si="6"/>
        <v>3500</v>
      </c>
      <c r="P51" s="258"/>
      <c r="Q51" s="258">
        <f t="shared" si="7"/>
        <v>3500</v>
      </c>
      <c r="R51" s="254"/>
      <c r="S51" s="296">
        <f t="shared" si="3"/>
        <v>3500</v>
      </c>
    </row>
    <row r="52" spans="1:38" s="270" customFormat="1" ht="15.75" customHeight="1" x14ac:dyDescent="0.25">
      <c r="A52" s="164">
        <v>47</v>
      </c>
      <c r="B52" s="264" t="s">
        <v>97</v>
      </c>
      <c r="C52" s="264" t="s">
        <v>20</v>
      </c>
      <c r="D52" s="264" t="s">
        <v>185</v>
      </c>
      <c r="E52" s="254" t="s">
        <v>98</v>
      </c>
      <c r="F52" s="265">
        <f t="shared" si="5"/>
        <v>266.66666666666669</v>
      </c>
      <c r="G52" s="265">
        <f t="shared" si="8"/>
        <v>4000</v>
      </c>
      <c r="H52" s="265">
        <v>8000</v>
      </c>
      <c r="I52" s="266">
        <v>12</v>
      </c>
      <c r="J52" s="266">
        <v>3</v>
      </c>
      <c r="K52" s="281"/>
      <c r="L52" s="281"/>
      <c r="M52" s="281">
        <v>50</v>
      </c>
      <c r="N52" s="281">
        <v>200</v>
      </c>
      <c r="O52" s="268">
        <f t="shared" si="6"/>
        <v>2950</v>
      </c>
      <c r="P52" s="269"/>
      <c r="Q52" s="269">
        <f t="shared" si="7"/>
        <v>2950</v>
      </c>
      <c r="R52" s="264"/>
      <c r="S52" s="296">
        <f t="shared" si="3"/>
        <v>3200</v>
      </c>
      <c r="T52" s="316">
        <v>1</v>
      </c>
      <c r="U52" s="316">
        <v>1</v>
      </c>
      <c r="V52" s="316">
        <v>1</v>
      </c>
      <c r="W52" s="316">
        <v>1</v>
      </c>
      <c r="X52" s="317">
        <v>0</v>
      </c>
      <c r="Y52" s="316">
        <v>1</v>
      </c>
      <c r="Z52" s="316">
        <v>1</v>
      </c>
      <c r="AA52" s="316">
        <v>0</v>
      </c>
      <c r="AB52" s="316">
        <v>1</v>
      </c>
      <c r="AC52" s="317">
        <v>1</v>
      </c>
      <c r="AD52" s="316">
        <v>1</v>
      </c>
      <c r="AE52" s="316">
        <v>1</v>
      </c>
      <c r="AF52" s="316">
        <v>1</v>
      </c>
      <c r="AG52" s="316">
        <v>0</v>
      </c>
      <c r="AH52" s="316">
        <v>1</v>
      </c>
      <c r="AI52" s="316">
        <v>1</v>
      </c>
      <c r="AJ52" s="316">
        <v>0</v>
      </c>
      <c r="AK52" s="317">
        <v>0</v>
      </c>
      <c r="AL52" s="318">
        <f>AVERAGE(T52:AK52)</f>
        <v>0.72222222222222221</v>
      </c>
    </row>
    <row r="53" spans="1:38" s="270" customFormat="1" ht="15.75" customHeight="1" x14ac:dyDescent="0.25">
      <c r="A53" s="164">
        <v>48</v>
      </c>
      <c r="B53" s="264" t="s">
        <v>59</v>
      </c>
      <c r="C53" s="264" t="s">
        <v>187</v>
      </c>
      <c r="D53" s="264" t="s">
        <v>41</v>
      </c>
      <c r="E53" s="254" t="s">
        <v>148</v>
      </c>
      <c r="F53" s="265">
        <f t="shared" si="5"/>
        <v>200</v>
      </c>
      <c r="G53" s="265">
        <f t="shared" si="8"/>
        <v>3000</v>
      </c>
      <c r="H53" s="265">
        <v>6000</v>
      </c>
      <c r="I53" s="266">
        <v>15</v>
      </c>
      <c r="J53" s="266"/>
      <c r="K53" s="281"/>
      <c r="L53" s="281"/>
      <c r="M53" s="281"/>
      <c r="N53" s="281"/>
      <c r="O53" s="268">
        <f t="shared" si="6"/>
        <v>3000</v>
      </c>
      <c r="P53" s="269"/>
      <c r="Q53" s="269">
        <f t="shared" si="7"/>
        <v>3000</v>
      </c>
      <c r="R53" s="264"/>
      <c r="S53" s="296">
        <f t="shared" si="3"/>
        <v>3000</v>
      </c>
    </row>
    <row r="54" spans="1:38" s="270" customFormat="1" ht="15.75" customHeight="1" x14ac:dyDescent="0.25">
      <c r="A54" s="164">
        <v>49</v>
      </c>
      <c r="B54" s="254" t="s">
        <v>97</v>
      </c>
      <c r="C54" s="254" t="s">
        <v>187</v>
      </c>
      <c r="D54" s="254" t="s">
        <v>41</v>
      </c>
      <c r="E54" s="254" t="s">
        <v>112</v>
      </c>
      <c r="F54" s="265">
        <f t="shared" si="5"/>
        <v>200</v>
      </c>
      <c r="G54" s="265">
        <f t="shared" si="8"/>
        <v>3000</v>
      </c>
      <c r="H54" s="265">
        <v>6000</v>
      </c>
      <c r="I54" s="266">
        <v>15</v>
      </c>
      <c r="J54" s="266"/>
      <c r="K54" s="267"/>
      <c r="L54" s="267"/>
      <c r="M54" s="267"/>
      <c r="N54" s="267"/>
      <c r="O54" s="268">
        <f t="shared" si="6"/>
        <v>3000</v>
      </c>
      <c r="P54" s="269"/>
      <c r="Q54" s="269">
        <f t="shared" si="7"/>
        <v>3000</v>
      </c>
      <c r="R54" s="264"/>
      <c r="S54" s="296">
        <f t="shared" si="3"/>
        <v>3000</v>
      </c>
    </row>
    <row r="55" spans="1:38" s="261" customFormat="1" ht="15.75" customHeight="1" x14ac:dyDescent="0.25">
      <c r="A55" s="164">
        <v>50</v>
      </c>
      <c r="B55" s="254" t="s">
        <v>100</v>
      </c>
      <c r="C55" s="254" t="s">
        <v>20</v>
      </c>
      <c r="D55" s="254" t="s">
        <v>185</v>
      </c>
      <c r="E55" s="254" t="s">
        <v>197</v>
      </c>
      <c r="F55" s="253">
        <f t="shared" si="5"/>
        <v>266.66666666666669</v>
      </c>
      <c r="G55" s="253">
        <f t="shared" si="8"/>
        <v>4000</v>
      </c>
      <c r="H55" s="253">
        <v>8000</v>
      </c>
      <c r="I55" s="255">
        <v>11</v>
      </c>
      <c r="J55" s="255"/>
      <c r="K55" s="282"/>
      <c r="L55" s="282"/>
      <c r="M55" s="282">
        <v>50</v>
      </c>
      <c r="N55" s="282"/>
      <c r="O55" s="257">
        <f t="shared" si="6"/>
        <v>2883.3333333333335</v>
      </c>
      <c r="P55" s="263"/>
      <c r="Q55" s="258">
        <f t="shared" si="7"/>
        <v>2883.3333333333335</v>
      </c>
      <c r="R55" s="254"/>
      <c r="S55" s="296">
        <f t="shared" si="3"/>
        <v>2933.3333333333335</v>
      </c>
    </row>
    <row r="56" spans="1:38" s="261" customFormat="1" ht="15.75" customHeight="1" x14ac:dyDescent="0.25">
      <c r="A56" s="164">
        <v>51</v>
      </c>
      <c r="B56" s="254" t="s">
        <v>100</v>
      </c>
      <c r="C56" s="254" t="s">
        <v>187</v>
      </c>
      <c r="D56" s="254" t="s">
        <v>48</v>
      </c>
      <c r="E56" s="254" t="s">
        <v>102</v>
      </c>
      <c r="F56" s="253">
        <f t="shared" si="5"/>
        <v>200</v>
      </c>
      <c r="G56" s="253">
        <f t="shared" si="8"/>
        <v>3000</v>
      </c>
      <c r="H56" s="253">
        <v>6000</v>
      </c>
      <c r="I56" s="255">
        <v>15</v>
      </c>
      <c r="J56" s="255"/>
      <c r="K56" s="256"/>
      <c r="L56" s="256"/>
      <c r="M56" s="256"/>
      <c r="N56" s="256"/>
      <c r="O56" s="257">
        <f t="shared" si="6"/>
        <v>3000</v>
      </c>
      <c r="P56" s="258"/>
      <c r="Q56" s="258">
        <f t="shared" si="7"/>
        <v>3000</v>
      </c>
      <c r="R56" s="254"/>
      <c r="S56" s="296">
        <f t="shared" si="3"/>
        <v>3000</v>
      </c>
    </row>
    <row r="57" spans="1:38" s="261" customFormat="1" ht="15.75" customHeight="1" x14ac:dyDescent="0.25">
      <c r="A57" s="164">
        <v>52</v>
      </c>
      <c r="B57" s="254" t="s">
        <v>100</v>
      </c>
      <c r="C57" s="254" t="s">
        <v>187</v>
      </c>
      <c r="D57" s="254" t="s">
        <v>41</v>
      </c>
      <c r="E57" s="254" t="s">
        <v>105</v>
      </c>
      <c r="F57" s="253">
        <f t="shared" si="5"/>
        <v>266.66666666666669</v>
      </c>
      <c r="G57" s="253">
        <f t="shared" si="8"/>
        <v>4000</v>
      </c>
      <c r="H57" s="253">
        <v>8000</v>
      </c>
      <c r="I57" s="255">
        <v>13</v>
      </c>
      <c r="J57" s="255">
        <v>2</v>
      </c>
      <c r="K57" s="282">
        <v>600</v>
      </c>
      <c r="L57" s="282"/>
      <c r="M57" s="282"/>
      <c r="N57" s="282"/>
      <c r="O57" s="257"/>
      <c r="P57" s="258"/>
      <c r="Q57" s="258"/>
      <c r="R57" s="254"/>
      <c r="S57" s="296"/>
    </row>
    <row r="58" spans="1:38" s="261" customFormat="1" ht="15.75" customHeight="1" x14ac:dyDescent="0.25">
      <c r="A58" s="164">
        <v>53</v>
      </c>
      <c r="B58" s="254" t="s">
        <v>100</v>
      </c>
      <c r="C58" s="254" t="s">
        <v>20</v>
      </c>
      <c r="D58" s="254" t="s">
        <v>51</v>
      </c>
      <c r="E58" s="254" t="s">
        <v>204</v>
      </c>
      <c r="F58" s="253">
        <f t="shared" si="5"/>
        <v>166.66666666666666</v>
      </c>
      <c r="G58" s="253">
        <f t="shared" si="8"/>
        <v>2500</v>
      </c>
      <c r="H58" s="253">
        <v>5000</v>
      </c>
      <c r="I58" s="255">
        <v>6</v>
      </c>
      <c r="J58" s="255"/>
      <c r="K58" s="282"/>
      <c r="L58" s="282"/>
      <c r="M58" s="282"/>
      <c r="N58" s="282">
        <v>135</v>
      </c>
      <c r="O58" s="257">
        <f t="shared" si="6"/>
        <v>865</v>
      </c>
      <c r="P58" s="258"/>
      <c r="Q58" s="258">
        <f t="shared" si="7"/>
        <v>865</v>
      </c>
      <c r="R58" s="254"/>
      <c r="S58" s="296">
        <f t="shared" si="3"/>
        <v>1000</v>
      </c>
    </row>
    <row r="59" spans="1:38" s="261" customFormat="1" ht="15.75" customHeight="1" x14ac:dyDescent="0.25">
      <c r="A59" s="164">
        <v>54</v>
      </c>
      <c r="B59" s="254" t="s">
        <v>100</v>
      </c>
      <c r="C59" s="254" t="s">
        <v>187</v>
      </c>
      <c r="D59" s="254" t="s">
        <v>48</v>
      </c>
      <c r="E59" s="254" t="s">
        <v>106</v>
      </c>
      <c r="F59" s="253">
        <f t="shared" si="5"/>
        <v>266.66666666666669</v>
      </c>
      <c r="G59" s="253">
        <f t="shared" si="8"/>
        <v>4000</v>
      </c>
      <c r="H59" s="253">
        <v>8000</v>
      </c>
      <c r="I59" s="255">
        <v>15</v>
      </c>
      <c r="J59" s="255"/>
      <c r="K59" s="282">
        <v>500</v>
      </c>
      <c r="L59" s="282">
        <v>50</v>
      </c>
      <c r="M59" s="282">
        <v>50</v>
      </c>
      <c r="N59" s="282">
        <v>135</v>
      </c>
      <c r="O59" s="257">
        <f t="shared" si="6"/>
        <v>3265.0000000000005</v>
      </c>
      <c r="P59" s="258"/>
      <c r="Q59" s="258">
        <f t="shared" si="7"/>
        <v>3265.0000000000005</v>
      </c>
      <c r="R59" s="254"/>
      <c r="S59" s="296">
        <f t="shared" si="3"/>
        <v>4000.0000000000005</v>
      </c>
    </row>
    <row r="60" spans="1:38" s="270" customFormat="1" ht="15.75" customHeight="1" x14ac:dyDescent="0.25">
      <c r="A60" s="164">
        <v>55</v>
      </c>
      <c r="B60" s="264" t="s">
        <v>107</v>
      </c>
      <c r="C60" s="264" t="s">
        <v>187</v>
      </c>
      <c r="D60" s="264" t="s">
        <v>108</v>
      </c>
      <c r="E60" s="254" t="s">
        <v>109</v>
      </c>
      <c r="F60" s="265">
        <f t="shared" si="5"/>
        <v>400</v>
      </c>
      <c r="G60" s="265">
        <f t="shared" si="8"/>
        <v>6000</v>
      </c>
      <c r="H60" s="265">
        <v>12000</v>
      </c>
      <c r="I60" s="266">
        <v>15</v>
      </c>
      <c r="J60" s="266"/>
      <c r="K60" s="281"/>
      <c r="L60" s="281"/>
      <c r="M60" s="281"/>
      <c r="N60" s="281"/>
      <c r="O60" s="268">
        <f t="shared" si="6"/>
        <v>6000</v>
      </c>
      <c r="P60" s="269"/>
      <c r="Q60" s="269">
        <f t="shared" si="7"/>
        <v>6000</v>
      </c>
      <c r="R60" s="264"/>
      <c r="S60" s="296">
        <f t="shared" si="3"/>
        <v>6000</v>
      </c>
    </row>
    <row r="61" spans="1:38" s="270" customFormat="1" ht="15.75" customHeight="1" x14ac:dyDescent="0.25">
      <c r="A61" s="164">
        <v>56</v>
      </c>
      <c r="B61" s="264" t="s">
        <v>107</v>
      </c>
      <c r="C61" s="264" t="s">
        <v>79</v>
      </c>
      <c r="D61" s="264" t="s">
        <v>199</v>
      </c>
      <c r="E61" s="254" t="s">
        <v>126</v>
      </c>
      <c r="F61" s="265">
        <f t="shared" si="5"/>
        <v>200</v>
      </c>
      <c r="G61" s="265">
        <f t="shared" si="8"/>
        <v>3000</v>
      </c>
      <c r="H61" s="265">
        <v>6000</v>
      </c>
      <c r="I61" s="266">
        <v>15</v>
      </c>
      <c r="J61" s="266"/>
      <c r="K61" s="281"/>
      <c r="L61" s="281"/>
      <c r="M61" s="281"/>
      <c r="N61" s="281"/>
      <c r="O61" s="268">
        <f t="shared" si="6"/>
        <v>3000</v>
      </c>
      <c r="P61" s="269"/>
      <c r="Q61" s="269">
        <f t="shared" si="7"/>
        <v>3000</v>
      </c>
      <c r="R61" s="264"/>
      <c r="S61" s="296">
        <f t="shared" si="3"/>
        <v>3000</v>
      </c>
    </row>
    <row r="62" spans="1:38" s="270" customFormat="1" ht="15.75" customHeight="1" x14ac:dyDescent="0.25">
      <c r="A62" s="164">
        <v>57</v>
      </c>
      <c r="B62" s="264" t="s">
        <v>107</v>
      </c>
      <c r="C62" s="264" t="s">
        <v>79</v>
      </c>
      <c r="D62" s="264" t="s">
        <v>200</v>
      </c>
      <c r="E62" s="254" t="s">
        <v>132</v>
      </c>
      <c r="F62" s="265">
        <f t="shared" si="5"/>
        <v>200</v>
      </c>
      <c r="G62" s="265">
        <f t="shared" si="8"/>
        <v>3000</v>
      </c>
      <c r="H62" s="265">
        <v>6000</v>
      </c>
      <c r="I62" s="266">
        <v>15</v>
      </c>
      <c r="J62" s="266"/>
      <c r="K62" s="281"/>
      <c r="L62" s="281"/>
      <c r="M62" s="281"/>
      <c r="N62" s="281"/>
      <c r="O62" s="268">
        <f t="shared" si="6"/>
        <v>3000</v>
      </c>
      <c r="P62" s="269"/>
      <c r="Q62" s="269">
        <f t="shared" si="7"/>
        <v>3000</v>
      </c>
      <c r="R62" s="264"/>
      <c r="S62" s="296">
        <f t="shared" si="3"/>
        <v>3000</v>
      </c>
    </row>
    <row r="63" spans="1:38" s="270" customFormat="1" ht="15.75" customHeight="1" x14ac:dyDescent="0.25">
      <c r="A63" s="164">
        <v>58</v>
      </c>
      <c r="B63" s="264" t="s">
        <v>107</v>
      </c>
      <c r="C63" s="264" t="s">
        <v>65</v>
      </c>
      <c r="D63" s="264" t="s">
        <v>66</v>
      </c>
      <c r="E63" s="254" t="s">
        <v>131</v>
      </c>
      <c r="F63" s="265">
        <f t="shared" si="5"/>
        <v>200</v>
      </c>
      <c r="G63" s="265">
        <f t="shared" si="8"/>
        <v>3000</v>
      </c>
      <c r="H63" s="265">
        <v>6000</v>
      </c>
      <c r="I63" s="266">
        <v>15</v>
      </c>
      <c r="J63" s="266"/>
      <c r="K63" s="267"/>
      <c r="L63" s="267"/>
      <c r="M63" s="267"/>
      <c r="N63" s="267"/>
      <c r="O63" s="268">
        <f t="shared" si="6"/>
        <v>3000</v>
      </c>
      <c r="P63" s="269"/>
      <c r="Q63" s="269">
        <f t="shared" si="7"/>
        <v>3000</v>
      </c>
      <c r="R63" s="264"/>
      <c r="S63" s="296">
        <f t="shared" si="3"/>
        <v>3000</v>
      </c>
    </row>
    <row r="64" spans="1:38" s="270" customFormat="1" ht="15.75" customHeight="1" x14ac:dyDescent="0.25">
      <c r="A64" s="164">
        <v>59</v>
      </c>
      <c r="B64" s="264" t="s">
        <v>107</v>
      </c>
      <c r="C64" s="264" t="s">
        <v>65</v>
      </c>
      <c r="D64" s="264" t="s">
        <v>66</v>
      </c>
      <c r="E64" s="254" t="s">
        <v>118</v>
      </c>
      <c r="F64" s="265">
        <f t="shared" si="5"/>
        <v>200</v>
      </c>
      <c r="G64" s="265">
        <f t="shared" si="8"/>
        <v>3000</v>
      </c>
      <c r="H64" s="265">
        <v>6000</v>
      </c>
      <c r="I64" s="266">
        <v>15</v>
      </c>
      <c r="J64" s="266"/>
      <c r="K64" s="267"/>
      <c r="L64" s="267"/>
      <c r="M64" s="267"/>
      <c r="N64" s="267"/>
      <c r="O64" s="268">
        <f t="shared" si="6"/>
        <v>3000</v>
      </c>
      <c r="P64" s="269"/>
      <c r="Q64" s="269">
        <f t="shared" si="7"/>
        <v>3000</v>
      </c>
      <c r="R64" s="264"/>
      <c r="S64" s="296">
        <f t="shared" si="3"/>
        <v>3000</v>
      </c>
    </row>
    <row r="65" spans="1:19" s="261" customFormat="1" ht="15.75" customHeight="1" x14ac:dyDescent="0.25">
      <c r="A65" s="164">
        <v>60</v>
      </c>
      <c r="B65" s="254" t="s">
        <v>149</v>
      </c>
      <c r="C65" s="254" t="s">
        <v>20</v>
      </c>
      <c r="D65" s="254" t="s">
        <v>185</v>
      </c>
      <c r="E65" s="254" t="s">
        <v>154</v>
      </c>
      <c r="F65" s="253">
        <f t="shared" si="5"/>
        <v>333.33333333333331</v>
      </c>
      <c r="G65" s="253">
        <f t="shared" si="8"/>
        <v>5000</v>
      </c>
      <c r="H65" s="253">
        <v>10000</v>
      </c>
      <c r="I65" s="255">
        <v>15</v>
      </c>
      <c r="J65" s="255"/>
      <c r="K65" s="256"/>
      <c r="L65" s="276"/>
      <c r="M65" s="256"/>
      <c r="N65" s="256"/>
      <c r="O65" s="257">
        <f t="shared" si="6"/>
        <v>5000</v>
      </c>
      <c r="P65" s="258"/>
      <c r="Q65" s="258">
        <f t="shared" si="7"/>
        <v>5000</v>
      </c>
      <c r="R65" s="254"/>
      <c r="S65" s="296">
        <f t="shared" si="3"/>
        <v>5000</v>
      </c>
    </row>
    <row r="66" spans="1:19" s="261" customFormat="1" ht="15.75" customHeight="1" x14ac:dyDescent="0.25">
      <c r="A66" s="164">
        <v>61</v>
      </c>
      <c r="B66" s="254" t="s">
        <v>149</v>
      </c>
      <c r="C66" s="254" t="s">
        <v>187</v>
      </c>
      <c r="D66" s="254" t="s">
        <v>150</v>
      </c>
      <c r="E66" s="254" t="s">
        <v>155</v>
      </c>
      <c r="F66" s="253">
        <f t="shared" si="5"/>
        <v>166.66666666666666</v>
      </c>
      <c r="G66" s="253">
        <f t="shared" si="8"/>
        <v>2500</v>
      </c>
      <c r="H66" s="253">
        <v>5000</v>
      </c>
      <c r="I66" s="255">
        <v>15</v>
      </c>
      <c r="J66" s="255"/>
      <c r="K66" s="256"/>
      <c r="L66" s="256"/>
      <c r="M66" s="256"/>
      <c r="N66" s="256"/>
      <c r="O66" s="257">
        <f t="shared" si="6"/>
        <v>2500</v>
      </c>
      <c r="P66" s="258"/>
      <c r="Q66" s="258">
        <f t="shared" si="7"/>
        <v>2500</v>
      </c>
      <c r="R66" s="254"/>
      <c r="S66" s="296">
        <f t="shared" si="3"/>
        <v>2500</v>
      </c>
    </row>
    <row r="67" spans="1:19" s="261" customFormat="1" ht="15.75" customHeight="1" x14ac:dyDescent="0.25">
      <c r="A67" s="164">
        <v>62</v>
      </c>
      <c r="B67" s="254" t="s">
        <v>149</v>
      </c>
      <c r="C67" s="254" t="s">
        <v>40</v>
      </c>
      <c r="D67" s="254" t="s">
        <v>186</v>
      </c>
      <c r="E67" s="254" t="s">
        <v>196</v>
      </c>
      <c r="F67" s="253">
        <f t="shared" si="5"/>
        <v>200</v>
      </c>
      <c r="G67" s="253">
        <f t="shared" si="8"/>
        <v>3000</v>
      </c>
      <c r="H67" s="253">
        <v>6000</v>
      </c>
      <c r="I67" s="255">
        <v>15</v>
      </c>
      <c r="J67" s="255"/>
      <c r="K67" s="282"/>
      <c r="L67" s="282"/>
      <c r="M67" s="282"/>
      <c r="N67" s="282"/>
      <c r="O67" s="257">
        <f t="shared" si="6"/>
        <v>3000</v>
      </c>
      <c r="P67" s="258"/>
      <c r="Q67" s="258">
        <f t="shared" si="7"/>
        <v>3000</v>
      </c>
      <c r="R67" s="254"/>
      <c r="S67" s="296">
        <f t="shared" si="3"/>
        <v>3000</v>
      </c>
    </row>
    <row r="68" spans="1:19" s="261" customFormat="1" ht="15.75" customHeight="1" x14ac:dyDescent="0.25">
      <c r="A68" s="164">
        <v>63</v>
      </c>
      <c r="B68" s="254" t="s">
        <v>149</v>
      </c>
      <c r="C68" s="254" t="s">
        <v>40</v>
      </c>
      <c r="D68" s="254" t="s">
        <v>41</v>
      </c>
      <c r="E68" s="254" t="s">
        <v>157</v>
      </c>
      <c r="F68" s="253">
        <f t="shared" si="5"/>
        <v>166.66666666666666</v>
      </c>
      <c r="G68" s="253">
        <f t="shared" si="8"/>
        <v>2500</v>
      </c>
      <c r="H68" s="253">
        <v>5000</v>
      </c>
      <c r="I68" s="255">
        <v>15</v>
      </c>
      <c r="J68" s="255"/>
      <c r="K68" s="256"/>
      <c r="L68" s="256"/>
      <c r="M68" s="256"/>
      <c r="N68" s="256"/>
      <c r="O68" s="257">
        <f t="shared" si="6"/>
        <v>2500</v>
      </c>
      <c r="P68" s="258"/>
      <c r="Q68" s="258">
        <f t="shared" si="7"/>
        <v>2500</v>
      </c>
      <c r="R68" s="254"/>
      <c r="S68" s="296">
        <f t="shared" si="3"/>
        <v>2500</v>
      </c>
    </row>
    <row r="69" spans="1:19" s="261" customFormat="1" ht="15.75" customHeight="1" x14ac:dyDescent="0.25">
      <c r="A69" s="164">
        <v>64</v>
      </c>
      <c r="B69" s="254" t="s">
        <v>149</v>
      </c>
      <c r="C69" s="254" t="s">
        <v>187</v>
      </c>
      <c r="D69" s="254" t="s">
        <v>48</v>
      </c>
      <c r="E69" s="254" t="s">
        <v>158</v>
      </c>
      <c r="F69" s="253">
        <f t="shared" si="5"/>
        <v>183.33333333333334</v>
      </c>
      <c r="G69" s="253">
        <f t="shared" si="8"/>
        <v>2750</v>
      </c>
      <c r="H69" s="253">
        <v>5500</v>
      </c>
      <c r="I69" s="255">
        <v>15</v>
      </c>
      <c r="J69" s="255"/>
      <c r="K69" s="256"/>
      <c r="L69" s="256"/>
      <c r="M69" s="256"/>
      <c r="N69" s="256"/>
      <c r="O69" s="257">
        <f t="shared" si="6"/>
        <v>2750</v>
      </c>
      <c r="P69" s="258"/>
      <c r="Q69" s="258">
        <f t="shared" si="7"/>
        <v>2750</v>
      </c>
      <c r="R69" s="254"/>
      <c r="S69" s="296">
        <f t="shared" si="3"/>
        <v>2750</v>
      </c>
    </row>
    <row r="70" spans="1:19" s="261" customFormat="1" ht="15.75" customHeight="1" x14ac:dyDescent="0.25">
      <c r="A70" s="164">
        <v>65</v>
      </c>
      <c r="B70" s="254" t="s">
        <v>149</v>
      </c>
      <c r="C70" s="254" t="s">
        <v>20</v>
      </c>
      <c r="D70" s="254" t="s">
        <v>51</v>
      </c>
      <c r="E70" s="254" t="s">
        <v>194</v>
      </c>
      <c r="F70" s="253">
        <f t="shared" ref="F70:F76" si="9">G70/15</f>
        <v>183.33333333333334</v>
      </c>
      <c r="G70" s="253">
        <f t="shared" si="8"/>
        <v>2750</v>
      </c>
      <c r="H70" s="253">
        <v>5500</v>
      </c>
      <c r="I70" s="255">
        <v>15</v>
      </c>
      <c r="J70" s="255"/>
      <c r="K70" s="282"/>
      <c r="L70" s="282"/>
      <c r="M70" s="282">
        <v>50</v>
      </c>
      <c r="N70" s="282"/>
      <c r="O70" s="257">
        <f t="shared" ref="O70:O76" si="10">Q70-P70</f>
        <v>2700</v>
      </c>
      <c r="P70" s="258"/>
      <c r="Q70" s="258">
        <f t="shared" ref="Q70:Q76" si="11">(I70*F70)-(K70+L70+M70+N70)</f>
        <v>2700</v>
      </c>
      <c r="R70" s="254"/>
      <c r="S70" s="296">
        <f t="shared" si="3"/>
        <v>2750</v>
      </c>
    </row>
    <row r="71" spans="1:19" s="270" customFormat="1" ht="15.75" customHeight="1" x14ac:dyDescent="0.25">
      <c r="A71" s="164">
        <v>66</v>
      </c>
      <c r="B71" s="264" t="s">
        <v>160</v>
      </c>
      <c r="C71" s="264" t="s">
        <v>20</v>
      </c>
      <c r="D71" s="264" t="s">
        <v>185</v>
      </c>
      <c r="E71" s="254" t="s">
        <v>163</v>
      </c>
      <c r="F71" s="265">
        <f t="shared" si="9"/>
        <v>333.33333333333331</v>
      </c>
      <c r="G71" s="265">
        <f t="shared" si="8"/>
        <v>5000</v>
      </c>
      <c r="H71" s="265">
        <v>10000</v>
      </c>
      <c r="I71" s="266">
        <v>15</v>
      </c>
      <c r="J71" s="266"/>
      <c r="K71" s="281"/>
      <c r="L71" s="281"/>
      <c r="M71" s="281"/>
      <c r="N71" s="281"/>
      <c r="O71" s="268">
        <f t="shared" si="10"/>
        <v>5000</v>
      </c>
      <c r="P71" s="269"/>
      <c r="Q71" s="269">
        <f t="shared" si="11"/>
        <v>5000</v>
      </c>
      <c r="R71" s="264"/>
      <c r="S71" s="296">
        <f t="shared" ref="S71:S76" si="12">F71*I71</f>
        <v>5000</v>
      </c>
    </row>
    <row r="72" spans="1:19" s="270" customFormat="1" ht="15.75" customHeight="1" x14ac:dyDescent="0.25">
      <c r="A72" s="164">
        <v>67</v>
      </c>
      <c r="B72" s="264" t="s">
        <v>160</v>
      </c>
      <c r="C72" s="264" t="s">
        <v>40</v>
      </c>
      <c r="D72" s="264" t="s">
        <v>48</v>
      </c>
      <c r="E72" s="254" t="s">
        <v>164</v>
      </c>
      <c r="F72" s="265">
        <f t="shared" si="9"/>
        <v>200</v>
      </c>
      <c r="G72" s="265">
        <f t="shared" si="8"/>
        <v>3000</v>
      </c>
      <c r="H72" s="265">
        <v>6000</v>
      </c>
      <c r="I72" s="266">
        <v>15</v>
      </c>
      <c r="J72" s="266"/>
      <c r="K72" s="281"/>
      <c r="L72" s="281"/>
      <c r="M72" s="281"/>
      <c r="N72" s="281"/>
      <c r="O72" s="268">
        <f t="shared" si="10"/>
        <v>3000</v>
      </c>
      <c r="P72" s="269"/>
      <c r="Q72" s="269">
        <f t="shared" si="11"/>
        <v>3000</v>
      </c>
      <c r="R72" s="264"/>
      <c r="S72" s="296">
        <f t="shared" si="12"/>
        <v>3000</v>
      </c>
    </row>
    <row r="73" spans="1:19" s="270" customFormat="1" ht="15.75" customHeight="1" x14ac:dyDescent="0.25">
      <c r="A73" s="164">
        <v>68</v>
      </c>
      <c r="B73" s="264" t="s">
        <v>160</v>
      </c>
      <c r="C73" s="264" t="s">
        <v>40</v>
      </c>
      <c r="D73" s="264" t="s">
        <v>186</v>
      </c>
      <c r="E73" s="254" t="s">
        <v>165</v>
      </c>
      <c r="F73" s="265">
        <f t="shared" si="9"/>
        <v>166.66666666666666</v>
      </c>
      <c r="G73" s="265">
        <f t="shared" si="8"/>
        <v>2500</v>
      </c>
      <c r="H73" s="265">
        <v>5000</v>
      </c>
      <c r="I73" s="266">
        <v>15</v>
      </c>
      <c r="J73" s="266"/>
      <c r="K73" s="267"/>
      <c r="L73" s="267"/>
      <c r="M73" s="267">
        <f>250+100</f>
        <v>350</v>
      </c>
      <c r="N73" s="267"/>
      <c r="O73" s="268">
        <f t="shared" si="10"/>
        <v>2150</v>
      </c>
      <c r="P73" s="269"/>
      <c r="Q73" s="269">
        <f t="shared" si="11"/>
        <v>2150</v>
      </c>
      <c r="R73" s="264"/>
      <c r="S73" s="296">
        <f t="shared" si="12"/>
        <v>2500</v>
      </c>
    </row>
    <row r="74" spans="1:19" s="270" customFormat="1" ht="15.75" customHeight="1" x14ac:dyDescent="0.25">
      <c r="A74" s="164">
        <v>69</v>
      </c>
      <c r="B74" s="264" t="s">
        <v>160</v>
      </c>
      <c r="C74" s="264" t="s">
        <v>187</v>
      </c>
      <c r="D74" s="264" t="s">
        <v>150</v>
      </c>
      <c r="E74" s="254" t="s">
        <v>195</v>
      </c>
      <c r="F74" s="265">
        <f t="shared" si="9"/>
        <v>216.66666666666666</v>
      </c>
      <c r="G74" s="265">
        <f t="shared" si="8"/>
        <v>3250</v>
      </c>
      <c r="H74" s="265">
        <v>6500</v>
      </c>
      <c r="I74" s="266">
        <v>15</v>
      </c>
      <c r="J74" s="266"/>
      <c r="K74" s="267"/>
      <c r="L74" s="267"/>
      <c r="M74" s="267"/>
      <c r="N74" s="267"/>
      <c r="O74" s="268">
        <f t="shared" si="10"/>
        <v>3250</v>
      </c>
      <c r="P74" s="269"/>
      <c r="Q74" s="269">
        <f t="shared" si="11"/>
        <v>3250</v>
      </c>
      <c r="R74" s="264"/>
      <c r="S74" s="296">
        <f t="shared" si="12"/>
        <v>3250</v>
      </c>
    </row>
    <row r="75" spans="1:19" s="270" customFormat="1" ht="15.75" customHeight="1" x14ac:dyDescent="0.25">
      <c r="A75" s="164">
        <v>70</v>
      </c>
      <c r="B75" s="264" t="s">
        <v>160</v>
      </c>
      <c r="C75" s="264" t="s">
        <v>187</v>
      </c>
      <c r="D75" s="264" t="s">
        <v>41</v>
      </c>
      <c r="E75" s="254" t="s">
        <v>167</v>
      </c>
      <c r="F75" s="265">
        <f t="shared" si="9"/>
        <v>166.66666666666666</v>
      </c>
      <c r="G75" s="265">
        <f t="shared" si="8"/>
        <v>2500</v>
      </c>
      <c r="H75" s="265">
        <v>5000</v>
      </c>
      <c r="I75" s="266">
        <v>15</v>
      </c>
      <c r="J75" s="266"/>
      <c r="K75" s="281"/>
      <c r="L75" s="281"/>
      <c r="M75" s="281"/>
      <c r="N75" s="281"/>
      <c r="O75" s="268">
        <f t="shared" si="10"/>
        <v>2500</v>
      </c>
      <c r="P75" s="269"/>
      <c r="Q75" s="269">
        <f t="shared" si="11"/>
        <v>2500</v>
      </c>
      <c r="R75" s="264"/>
      <c r="S75" s="296">
        <f t="shared" si="12"/>
        <v>2500</v>
      </c>
    </row>
    <row r="76" spans="1:19" s="270" customFormat="1" ht="15.75" customHeight="1" x14ac:dyDescent="0.25">
      <c r="A76" s="164">
        <v>71</v>
      </c>
      <c r="B76" s="264" t="s">
        <v>160</v>
      </c>
      <c r="C76" s="264" t="s">
        <v>40</v>
      </c>
      <c r="D76" s="264" t="s">
        <v>186</v>
      </c>
      <c r="E76" s="254" t="s">
        <v>168</v>
      </c>
      <c r="F76" s="265">
        <f t="shared" si="9"/>
        <v>200</v>
      </c>
      <c r="G76" s="265">
        <f t="shared" si="8"/>
        <v>3000</v>
      </c>
      <c r="H76" s="265">
        <v>6000</v>
      </c>
      <c r="I76" s="266">
        <v>15</v>
      </c>
      <c r="J76" s="266"/>
      <c r="K76" s="267"/>
      <c r="L76" s="267"/>
      <c r="M76" s="267">
        <v>50</v>
      </c>
      <c r="N76" s="267"/>
      <c r="O76" s="268">
        <f t="shared" si="10"/>
        <v>2950</v>
      </c>
      <c r="P76" s="269"/>
      <c r="Q76" s="269">
        <f t="shared" si="11"/>
        <v>2950</v>
      </c>
      <c r="R76" s="264"/>
      <c r="S76" s="296">
        <f t="shared" si="12"/>
        <v>3000</v>
      </c>
    </row>
    <row r="77" spans="1:19" s="10" customFormat="1" ht="23.25" customHeight="1" x14ac:dyDescent="0.25">
      <c r="A77" s="50"/>
      <c r="B77" s="50"/>
      <c r="C77" s="50"/>
      <c r="D77" s="50"/>
      <c r="E77" s="277" t="s">
        <v>113</v>
      </c>
      <c r="F77" s="277"/>
      <c r="G77" s="259"/>
      <c r="H77" s="259"/>
      <c r="I77" s="260"/>
      <c r="J77" s="260"/>
      <c r="K77" s="259">
        <f t="shared" ref="K77:Q77" si="13">SUM(K6:K76)</f>
        <v>5639.84</v>
      </c>
      <c r="L77" s="259">
        <f t="shared" si="13"/>
        <v>1366.66</v>
      </c>
      <c r="M77" s="259">
        <f t="shared" si="13"/>
        <v>1150</v>
      </c>
      <c r="N77" s="259">
        <f t="shared" si="13"/>
        <v>1750</v>
      </c>
      <c r="O77" s="259">
        <f t="shared" si="13"/>
        <v>251250.72000000003</v>
      </c>
      <c r="P77" s="259">
        <f t="shared" si="13"/>
        <v>11292.779999999999</v>
      </c>
      <c r="Q77" s="259">
        <f t="shared" si="13"/>
        <v>262543.5</v>
      </c>
      <c r="R77" s="260"/>
      <c r="S77" s="259">
        <f>SUM(S6:S76)</f>
        <v>271850</v>
      </c>
    </row>
    <row r="78" spans="1:19" ht="17.25" customHeight="1" x14ac:dyDescent="0.25">
      <c r="A78" s="50"/>
      <c r="B78" s="287"/>
      <c r="C78" s="287"/>
      <c r="D78" s="287"/>
      <c r="E78" s="301"/>
      <c r="F78" s="302"/>
      <c r="P78" s="287"/>
      <c r="Q78" s="287"/>
      <c r="S78" s="296"/>
    </row>
    <row r="79" spans="1:19" ht="23.25" customHeight="1" x14ac:dyDescent="0.35">
      <c r="A79" s="50"/>
      <c r="B79" s="301"/>
      <c r="C79" s="301"/>
      <c r="D79" s="297" t="s">
        <v>146</v>
      </c>
      <c r="E79" s="298" t="s">
        <v>206</v>
      </c>
      <c r="F79" s="298">
        <f>S77</f>
        <v>271850</v>
      </c>
      <c r="G79" s="303"/>
      <c r="H79" s="302"/>
      <c r="I79" s="304"/>
      <c r="J79" s="304"/>
      <c r="K79" s="305"/>
      <c r="L79" s="305"/>
      <c r="M79" s="305"/>
      <c r="N79" s="305"/>
      <c r="O79" s="306"/>
      <c r="P79" s="307"/>
      <c r="Q79" s="301"/>
      <c r="S79" s="296"/>
    </row>
    <row r="80" spans="1:19" ht="23.25" x14ac:dyDescent="0.25">
      <c r="A80" s="50"/>
      <c r="B80" s="301"/>
      <c r="C80" s="301"/>
      <c r="D80" s="297" t="s">
        <v>147</v>
      </c>
      <c r="E80" s="298" t="s">
        <v>144</v>
      </c>
      <c r="F80" s="298">
        <f>SUM(K77:N77)</f>
        <v>9906.5</v>
      </c>
      <c r="G80" s="303"/>
      <c r="H80" s="303"/>
      <c r="I80" s="304"/>
      <c r="J80" s="304"/>
      <c r="K80" s="305"/>
      <c r="L80" s="305"/>
      <c r="M80" s="305"/>
      <c r="N80" s="305"/>
      <c r="O80" s="306"/>
      <c r="P80" s="301" t="s">
        <v>149</v>
      </c>
      <c r="Q80" s="332">
        <f>SUM(Q65:Q70)</f>
        <v>18450</v>
      </c>
      <c r="S80" s="296"/>
    </row>
    <row r="81" spans="4:19" ht="18.75" x14ac:dyDescent="0.25">
      <c r="D81" s="301"/>
      <c r="E81" s="299" t="s">
        <v>207</v>
      </c>
      <c r="F81" s="299">
        <f>F79-F80</f>
        <v>261943.5</v>
      </c>
      <c r="G81" s="303"/>
      <c r="H81" s="303"/>
      <c r="I81" s="304"/>
      <c r="J81" s="304"/>
      <c r="K81" s="305"/>
      <c r="L81" s="305"/>
      <c r="M81" s="305"/>
      <c r="N81" s="305"/>
      <c r="O81" s="306"/>
      <c r="P81" s="301" t="s">
        <v>160</v>
      </c>
      <c r="Q81" s="332">
        <f>SUM(Q71:Q76)</f>
        <v>18850</v>
      </c>
      <c r="S81" s="296" t="e">
        <f>E81*I81</f>
        <v>#VALUE!</v>
      </c>
    </row>
    <row r="82" spans="4:19" x14ac:dyDescent="0.25">
      <c r="E82" s="280"/>
    </row>
    <row r="83" spans="4:19" x14ac:dyDescent="0.25">
      <c r="F83" s="51">
        <v>265292.05</v>
      </c>
    </row>
    <row r="85" spans="4:19" x14ac:dyDescent="0.25">
      <c r="F85" s="51">
        <f>F79-F83</f>
        <v>6557.9500000000116</v>
      </c>
    </row>
  </sheetData>
  <autoFilter ref="A5:Q81"/>
  <mergeCells count="3">
    <mergeCell ref="B1:P1"/>
    <mergeCell ref="B2:P2"/>
    <mergeCell ref="K4:N4"/>
  </mergeCells>
  <conditionalFormatting sqref="T52:W52 Y52:AJ52">
    <cfRule type="iconSet" priority="2">
      <iconSet iconSet="3Symbols2" showValue="0">
        <cfvo type="percent" val="0"/>
        <cfvo type="num" val="0"/>
        <cfvo type="num" val="1"/>
      </iconSet>
    </cfRule>
  </conditionalFormatting>
  <conditionalFormatting sqref="X52">
    <cfRule type="iconSet" priority="3">
      <iconSet iconSet="3Symbols2" showValue="0">
        <cfvo type="percent" val="0"/>
        <cfvo type="percent" val="33"/>
        <cfvo type="percent" val="67"/>
      </iconSet>
    </cfRule>
  </conditionalFormatting>
  <pageMargins left="0" right="0" top="0.35433070866141736" bottom="0.39370078740157483" header="0.31496062992125984" footer="0.31496062992125984"/>
  <pageSetup scale="38" fitToHeight="2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46E7365-E524-41A2-B4B5-D1CCD66319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T52:W52 Y52:AJ52</xm:sqref>
        </x14:conditionalFormatting>
        <x14:conditionalFormatting xmlns:xm="http://schemas.microsoft.com/office/excel/2006/main">
          <x14:cfRule type="iconSet" priority="4" id="{018F83DF-BABE-4525-BA84-249687562056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AK52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93"/>
  <sheetViews>
    <sheetView showGridLines="0" tabSelected="1" zoomScale="86" zoomScaleNormal="86" zoomScaleSheetLayoutView="25" workbookViewId="0">
      <pane xSplit="5" ySplit="5" topLeftCell="AR74" activePane="bottomRight" state="frozen"/>
      <selection pane="topRight" activeCell="F1" sqref="F1"/>
      <selection pane="bottomLeft" activeCell="A6" sqref="A6"/>
      <selection pane="bottomRight" activeCell="AR78" sqref="AR78"/>
    </sheetView>
  </sheetViews>
  <sheetFormatPr baseColWidth="10" defaultColWidth="9.140625" defaultRowHeight="15" outlineLevelCol="1" x14ac:dyDescent="0.25"/>
  <cols>
    <col min="1" max="1" width="12.28515625" style="381" bestFit="1" customWidth="1"/>
    <col min="2" max="2" width="18" style="381" customWidth="1" outlineLevel="1"/>
    <col min="3" max="3" width="21.140625" style="381" customWidth="1" outlineLevel="1"/>
    <col min="4" max="4" width="35" style="381" customWidth="1" outlineLevel="1"/>
    <col min="5" max="5" width="54.42578125" style="381" customWidth="1"/>
    <col min="6" max="6" width="39.7109375" style="381" hidden="1" customWidth="1"/>
    <col min="7" max="7" width="24.5703125" style="51" hidden="1" customWidth="1" outlineLevel="1"/>
    <col min="8" max="8" width="29.28515625" style="52" hidden="1" customWidth="1" outlineLevel="1"/>
    <col min="9" max="9" width="27.42578125" style="52" hidden="1" customWidth="1" outlineLevel="1"/>
    <col min="10" max="10" width="29.140625" style="53" hidden="1" customWidth="1" outlineLevel="1"/>
    <col min="11" max="11" width="15.5703125" style="53" hidden="1" customWidth="1" outlineLevel="1"/>
    <col min="12" max="12" width="11.85546875" style="53" hidden="1" customWidth="1" outlineLevel="1"/>
    <col min="13" max="13" width="16.7109375" style="53" hidden="1" customWidth="1" outlineLevel="1"/>
    <col min="14" max="14" width="34.85546875" style="54" hidden="1" customWidth="1"/>
    <col min="15" max="15" width="21.85546875" style="54" hidden="1" customWidth="1"/>
    <col min="16" max="16" width="32.7109375" style="54" hidden="1" customWidth="1"/>
    <col min="17" max="17" width="30.28515625" style="54" hidden="1" customWidth="1"/>
    <col min="18" max="18" width="31" style="105" hidden="1" customWidth="1"/>
    <col min="19" max="19" width="19" style="381" hidden="1" customWidth="1"/>
    <col min="20" max="20" width="31" style="381" bestFit="1" customWidth="1"/>
    <col min="21" max="21" width="32.5703125" style="381" hidden="1" customWidth="1"/>
    <col min="22" max="22" width="20.140625" style="381" hidden="1" customWidth="1"/>
    <col min="23" max="23" width="14.7109375" style="381" customWidth="1"/>
    <col min="24" max="24" width="31" style="314" hidden="1" customWidth="1"/>
    <col min="25" max="25" width="11.42578125" style="314" hidden="1" customWidth="1"/>
    <col min="26" max="26" width="14.7109375" style="314" hidden="1" customWidth="1"/>
    <col min="27" max="27" width="6.140625" style="314" hidden="1" customWidth="1"/>
    <col min="28" max="28" width="4.42578125" style="314" hidden="1" customWidth="1"/>
    <col min="29" max="29" width="4.28515625" style="314" hidden="1" customWidth="1"/>
    <col min="30" max="30" width="31.5703125" style="314" hidden="1" customWidth="1"/>
    <col min="31" max="31" width="22" style="314" hidden="1" customWidth="1"/>
    <col min="32" max="32" width="23.7109375" style="314" hidden="1" customWidth="1"/>
    <col min="33" max="33" width="26.5703125" style="314" hidden="1" customWidth="1"/>
    <col min="34" max="34" width="31.140625" style="314" hidden="1" customWidth="1"/>
    <col min="35" max="35" width="22.28515625" style="314" hidden="1" customWidth="1"/>
    <col min="36" max="36" width="27.7109375" style="314" hidden="1" customWidth="1"/>
    <col min="37" max="37" width="28.7109375" style="314" hidden="1" customWidth="1"/>
    <col min="38" max="38" width="30.5703125" style="314" hidden="1" customWidth="1"/>
    <col min="39" max="39" width="34.7109375" style="314" hidden="1" customWidth="1"/>
    <col min="40" max="40" width="2.42578125" style="314" hidden="1" customWidth="1"/>
    <col min="41" max="41" width="33" style="314" hidden="1" customWidth="1"/>
    <col min="42" max="42" width="9" style="314" hidden="1" customWidth="1"/>
    <col min="43" max="43" width="18.42578125" style="314" hidden="1" customWidth="1"/>
    <col min="44" max="45" width="18.42578125" style="314" customWidth="1"/>
    <col min="46" max="46" width="18.28515625" style="381" customWidth="1"/>
    <col min="47" max="16384" width="9.140625" style="381"/>
  </cols>
  <sheetData>
    <row r="1" spans="1:46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</row>
    <row r="2" spans="1:46" ht="18.75" x14ac:dyDescent="0.25">
      <c r="B2" s="394" t="s">
        <v>236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</row>
    <row r="3" spans="1:46" ht="15.75" thickBot="1" x14ac:dyDescent="0.3">
      <c r="B3" s="278" t="s">
        <v>0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</row>
    <row r="4" spans="1:46" ht="19.5" thickBot="1" x14ac:dyDescent="0.35">
      <c r="B4" s="380"/>
      <c r="G4" s="381"/>
      <c r="H4" s="319"/>
      <c r="I4" s="381"/>
      <c r="J4" s="381"/>
      <c r="K4" s="381"/>
      <c r="L4" s="381"/>
      <c r="M4" s="381"/>
      <c r="N4" s="389" t="s">
        <v>144</v>
      </c>
      <c r="O4" s="390"/>
      <c r="P4" s="390"/>
      <c r="Q4" s="391"/>
      <c r="R4" s="381"/>
    </row>
    <row r="5" spans="1:46" s="2" customFormat="1" ht="38.25" customHeight="1" x14ac:dyDescent="0.25">
      <c r="A5" s="295" t="s">
        <v>1</v>
      </c>
      <c r="B5" s="88" t="s">
        <v>2</v>
      </c>
      <c r="C5" s="89" t="s">
        <v>3</v>
      </c>
      <c r="D5" s="89" t="s">
        <v>4</v>
      </c>
      <c r="E5" s="89" t="s">
        <v>5</v>
      </c>
      <c r="F5" s="89" t="s">
        <v>269</v>
      </c>
      <c r="G5" s="90" t="s">
        <v>6</v>
      </c>
      <c r="H5" s="91" t="s">
        <v>140</v>
      </c>
      <c r="I5" s="91" t="s">
        <v>141</v>
      </c>
      <c r="J5" s="92" t="s">
        <v>8</v>
      </c>
      <c r="K5" s="89" t="s">
        <v>9</v>
      </c>
      <c r="L5" s="396" t="s">
        <v>266</v>
      </c>
      <c r="M5" s="396"/>
      <c r="N5" s="238" t="s">
        <v>10</v>
      </c>
      <c r="O5" s="238" t="s">
        <v>11</v>
      </c>
      <c r="P5" s="238" t="s">
        <v>12</v>
      </c>
      <c r="Q5" s="238" t="s">
        <v>13</v>
      </c>
      <c r="R5" s="93" t="s">
        <v>14</v>
      </c>
      <c r="S5" s="94" t="s">
        <v>15</v>
      </c>
      <c r="T5" s="89" t="s">
        <v>16</v>
      </c>
      <c r="U5" s="96" t="s">
        <v>18</v>
      </c>
      <c r="V5" s="2" t="s">
        <v>208</v>
      </c>
      <c r="W5" s="406" t="s">
        <v>282</v>
      </c>
      <c r="X5" s="315" t="s">
        <v>217</v>
      </c>
      <c r="Y5" s="315" t="s">
        <v>218</v>
      </c>
      <c r="Z5" s="315" t="s">
        <v>219</v>
      </c>
      <c r="AA5" s="315" t="s">
        <v>220</v>
      </c>
      <c r="AB5" s="315" t="s">
        <v>221</v>
      </c>
      <c r="AC5" s="315" t="s">
        <v>222</v>
      </c>
      <c r="AD5" s="315" t="s">
        <v>223</v>
      </c>
      <c r="AE5" s="315" t="s">
        <v>224</v>
      </c>
      <c r="AF5" s="315" t="s">
        <v>225</v>
      </c>
      <c r="AG5" s="315" t="s">
        <v>226</v>
      </c>
      <c r="AH5" s="315" t="s">
        <v>227</v>
      </c>
      <c r="AI5" s="315" t="s">
        <v>228</v>
      </c>
      <c r="AJ5" s="315" t="s">
        <v>229</v>
      </c>
      <c r="AK5" s="315" t="s">
        <v>230</v>
      </c>
      <c r="AL5" s="315" t="s">
        <v>231</v>
      </c>
      <c r="AM5" s="315" t="s">
        <v>232</v>
      </c>
      <c r="AN5" s="315" t="s">
        <v>233</v>
      </c>
      <c r="AO5" s="315" t="s">
        <v>234</v>
      </c>
      <c r="AP5" s="315" t="s">
        <v>235</v>
      </c>
      <c r="AQ5" s="344"/>
      <c r="AR5" s="344" t="s">
        <v>281</v>
      </c>
      <c r="AS5" s="344" t="s">
        <v>283</v>
      </c>
      <c r="AT5" s="2" t="s">
        <v>281</v>
      </c>
    </row>
    <row r="6" spans="1:46" s="2" customFormat="1" ht="14.25" customHeight="1" x14ac:dyDescent="0.25">
      <c r="A6" s="339"/>
      <c r="B6" s="337"/>
      <c r="C6" s="337"/>
      <c r="D6" s="337"/>
      <c r="E6" s="337"/>
      <c r="F6" s="337"/>
      <c r="G6" s="238"/>
      <c r="H6" s="340"/>
      <c r="I6" s="340"/>
      <c r="J6" s="341"/>
      <c r="K6" s="337"/>
      <c r="L6" s="382">
        <v>3</v>
      </c>
      <c r="M6" s="382">
        <v>10</v>
      </c>
      <c r="N6" s="238"/>
      <c r="O6" s="238"/>
      <c r="P6" s="238"/>
      <c r="Q6" s="238"/>
      <c r="R6" s="342"/>
      <c r="S6" s="337"/>
      <c r="T6" s="337"/>
      <c r="U6" s="343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344"/>
      <c r="AQ6" s="344"/>
      <c r="AR6" s="344"/>
      <c r="AS6" s="344"/>
    </row>
    <row r="7" spans="1:46" s="160" customFormat="1" ht="15.75" customHeight="1" x14ac:dyDescent="0.25">
      <c r="A7" s="123">
        <v>1</v>
      </c>
      <c r="B7" s="162" t="s">
        <v>19</v>
      </c>
      <c r="C7" s="162" t="s">
        <v>20</v>
      </c>
      <c r="D7" s="162" t="s">
        <v>178</v>
      </c>
      <c r="E7" s="162" t="s">
        <v>22</v>
      </c>
      <c r="F7" s="162"/>
      <c r="G7" s="163">
        <f t="shared" ref="G7:G77" si="0">H7/15</f>
        <v>1000</v>
      </c>
      <c r="H7" s="163">
        <f t="shared" ref="H7:H70" si="1">I7/2</f>
        <v>15000</v>
      </c>
      <c r="I7" s="163">
        <v>30000</v>
      </c>
      <c r="J7" s="164">
        <v>15</v>
      </c>
      <c r="K7" s="164"/>
      <c r="L7" s="164"/>
      <c r="M7" s="164"/>
      <c r="N7" s="165"/>
      <c r="O7" s="165"/>
      <c r="P7" s="165"/>
      <c r="Q7" s="165"/>
      <c r="R7" s="166">
        <f t="shared" ref="R7:R77" si="2">T7-S7</f>
        <v>13284.33</v>
      </c>
      <c r="S7" s="167">
        <v>1715.67</v>
      </c>
      <c r="T7" s="167">
        <f t="shared" ref="T7:T77" si="3">(J7*G7)-(N7+O7+P7+Q7)</f>
        <v>15000</v>
      </c>
      <c r="U7" s="162"/>
      <c r="V7" s="296">
        <f>G7*J7</f>
        <v>15000</v>
      </c>
      <c r="W7" s="296">
        <v>1715.67</v>
      </c>
      <c r="AQ7" s="404">
        <f>+T7-W7</f>
        <v>13284.33</v>
      </c>
      <c r="AR7" s="405">
        <f>AQ7/AS7</f>
        <v>60</v>
      </c>
      <c r="AS7" s="404">
        <f>((AQ7/15)/8)*2</f>
        <v>221.40549999999999</v>
      </c>
      <c r="AT7" s="404">
        <f>AR7*AS7</f>
        <v>13284.33</v>
      </c>
    </row>
    <row r="8" spans="1:46" s="160" customFormat="1" ht="15.75" customHeight="1" x14ac:dyDescent="0.25">
      <c r="A8" s="123">
        <v>2</v>
      </c>
      <c r="B8" s="162" t="s">
        <v>19</v>
      </c>
      <c r="C8" s="162" t="s">
        <v>20</v>
      </c>
      <c r="D8" s="162" t="s">
        <v>179</v>
      </c>
      <c r="E8" s="162" t="s">
        <v>24</v>
      </c>
      <c r="F8" s="162"/>
      <c r="G8" s="163">
        <f t="shared" si="0"/>
        <v>1000</v>
      </c>
      <c r="H8" s="163">
        <f t="shared" si="1"/>
        <v>15000</v>
      </c>
      <c r="I8" s="163">
        <v>30000</v>
      </c>
      <c r="J8" s="164">
        <v>15</v>
      </c>
      <c r="K8" s="164"/>
      <c r="L8" s="164"/>
      <c r="M8" s="164"/>
      <c r="N8" s="165"/>
      <c r="O8" s="165"/>
      <c r="P8" s="165"/>
      <c r="Q8" s="165"/>
      <c r="R8" s="166">
        <f t="shared" si="2"/>
        <v>15000</v>
      </c>
      <c r="S8" s="167"/>
      <c r="T8" s="167">
        <f t="shared" si="3"/>
        <v>15000</v>
      </c>
      <c r="U8" s="162"/>
      <c r="V8" s="296">
        <f t="shared" ref="V8:V79" si="4">G8*J8</f>
        <v>15000</v>
      </c>
      <c r="W8" s="296">
        <v>1657.9</v>
      </c>
      <c r="AQ8" s="404">
        <f t="shared" ref="AQ8:AQ71" si="5">+T8-W8</f>
        <v>13342.1</v>
      </c>
      <c r="AR8" s="405">
        <f t="shared" ref="AR8:AR71" si="6">AQ8/AS8</f>
        <v>60</v>
      </c>
      <c r="AS8" s="404">
        <f t="shared" ref="AS8:AS71" si="7">((AQ8/15)/8)*2</f>
        <v>222.36833333333334</v>
      </c>
      <c r="AT8" s="404">
        <f t="shared" ref="AT8:AT71" si="8">AR8*AS8</f>
        <v>13342.1</v>
      </c>
    </row>
    <row r="9" spans="1:46" s="160" customFormat="1" ht="15.75" customHeight="1" x14ac:dyDescent="0.25">
      <c r="A9" s="123">
        <v>3</v>
      </c>
      <c r="B9" s="162" t="s">
        <v>19</v>
      </c>
      <c r="C9" s="162" t="s">
        <v>20</v>
      </c>
      <c r="D9" s="162" t="s">
        <v>180</v>
      </c>
      <c r="E9" s="162" t="s">
        <v>139</v>
      </c>
      <c r="F9" s="162"/>
      <c r="G9" s="163">
        <f t="shared" si="0"/>
        <v>666.66666666666663</v>
      </c>
      <c r="H9" s="163">
        <f t="shared" si="1"/>
        <v>10000</v>
      </c>
      <c r="I9" s="163">
        <v>20000</v>
      </c>
      <c r="J9" s="164">
        <v>15</v>
      </c>
      <c r="K9" s="164"/>
      <c r="L9" s="164"/>
      <c r="M9" s="164"/>
      <c r="N9" s="165"/>
      <c r="O9" s="165"/>
      <c r="P9" s="165"/>
      <c r="Q9" s="165"/>
      <c r="R9" s="166">
        <f t="shared" si="2"/>
        <v>10000</v>
      </c>
      <c r="S9" s="167"/>
      <c r="T9" s="167">
        <f t="shared" si="3"/>
        <v>10000</v>
      </c>
      <c r="U9" s="162"/>
      <c r="V9" s="296">
        <f t="shared" si="4"/>
        <v>10000</v>
      </c>
      <c r="W9" s="296">
        <v>1657.9</v>
      </c>
      <c r="AQ9" s="404">
        <f t="shared" si="5"/>
        <v>8342.1</v>
      </c>
      <c r="AR9" s="405">
        <f t="shared" si="6"/>
        <v>60.000000000000007</v>
      </c>
      <c r="AS9" s="404">
        <f t="shared" si="7"/>
        <v>139.035</v>
      </c>
      <c r="AT9" s="404">
        <f t="shared" si="8"/>
        <v>8342.1</v>
      </c>
    </row>
    <row r="10" spans="1:46" s="160" customFormat="1" ht="15.75" customHeight="1" x14ac:dyDescent="0.25">
      <c r="A10" s="123">
        <v>4</v>
      </c>
      <c r="B10" s="162" t="s">
        <v>19</v>
      </c>
      <c r="C10" s="162" t="s">
        <v>20</v>
      </c>
      <c r="D10" s="162" t="s">
        <v>169</v>
      </c>
      <c r="E10" s="162" t="s">
        <v>170</v>
      </c>
      <c r="F10" s="162"/>
      <c r="G10" s="163">
        <f t="shared" si="0"/>
        <v>500</v>
      </c>
      <c r="H10" s="163">
        <f t="shared" si="1"/>
        <v>7500</v>
      </c>
      <c r="I10" s="163">
        <v>15000</v>
      </c>
      <c r="J10" s="164">
        <v>15</v>
      </c>
      <c r="K10" s="164"/>
      <c r="L10" s="164"/>
      <c r="M10" s="164"/>
      <c r="N10" s="165"/>
      <c r="O10" s="165"/>
      <c r="P10" s="165"/>
      <c r="Q10" s="165"/>
      <c r="R10" s="166">
        <f t="shared" si="2"/>
        <v>7500</v>
      </c>
      <c r="S10" s="167"/>
      <c r="T10" s="167">
        <f t="shared" si="3"/>
        <v>7500</v>
      </c>
      <c r="U10" s="162"/>
      <c r="V10" s="296">
        <f t="shared" si="4"/>
        <v>7500</v>
      </c>
      <c r="W10" s="296">
        <v>1657.9</v>
      </c>
      <c r="AQ10" s="404">
        <f t="shared" si="5"/>
        <v>5842.1</v>
      </c>
      <c r="AR10" s="405">
        <f t="shared" si="6"/>
        <v>60</v>
      </c>
      <c r="AS10" s="404">
        <f t="shared" si="7"/>
        <v>97.368333333333339</v>
      </c>
      <c r="AT10" s="404">
        <f t="shared" si="8"/>
        <v>5842.1</v>
      </c>
    </row>
    <row r="11" spans="1:46" s="160" customFormat="1" ht="15.75" customHeight="1" x14ac:dyDescent="0.25">
      <c r="A11" s="123">
        <v>5</v>
      </c>
      <c r="B11" s="162" t="s">
        <v>19</v>
      </c>
      <c r="C11" s="162" t="s">
        <v>20</v>
      </c>
      <c r="D11" s="162" t="s">
        <v>173</v>
      </c>
      <c r="E11" s="162" t="s">
        <v>172</v>
      </c>
      <c r="F11" s="162"/>
      <c r="G11" s="163">
        <f t="shared" si="0"/>
        <v>233.33333333333334</v>
      </c>
      <c r="H11" s="163">
        <f t="shared" si="1"/>
        <v>3500</v>
      </c>
      <c r="I11" s="163">
        <v>7000</v>
      </c>
      <c r="J11" s="164">
        <v>15</v>
      </c>
      <c r="K11" s="164"/>
      <c r="L11" s="164"/>
      <c r="M11" s="164"/>
      <c r="N11" s="165"/>
      <c r="O11" s="165"/>
      <c r="P11" s="165"/>
      <c r="Q11" s="165"/>
      <c r="R11" s="166">
        <f t="shared" si="2"/>
        <v>3500</v>
      </c>
      <c r="S11" s="167"/>
      <c r="T11" s="167">
        <f t="shared" si="3"/>
        <v>3500</v>
      </c>
      <c r="U11" s="162"/>
      <c r="V11" s="296">
        <f t="shared" si="4"/>
        <v>3500</v>
      </c>
      <c r="W11" s="296">
        <v>1657.9</v>
      </c>
      <c r="AQ11" s="404">
        <f t="shared" si="5"/>
        <v>1842.1</v>
      </c>
      <c r="AR11" s="405">
        <f t="shared" si="6"/>
        <v>60</v>
      </c>
      <c r="AS11" s="404">
        <f t="shared" si="7"/>
        <v>30.701666666666664</v>
      </c>
      <c r="AT11" s="404">
        <f t="shared" si="8"/>
        <v>1842.1</v>
      </c>
    </row>
    <row r="12" spans="1:46" s="160" customFormat="1" ht="15.75" customHeight="1" x14ac:dyDescent="0.25">
      <c r="A12" s="123">
        <v>6</v>
      </c>
      <c r="B12" s="162" t="s">
        <v>19</v>
      </c>
      <c r="C12" s="162" t="s">
        <v>20</v>
      </c>
      <c r="D12" s="162" t="s">
        <v>171</v>
      </c>
      <c r="E12" s="162" t="s">
        <v>29</v>
      </c>
      <c r="F12" s="162"/>
      <c r="G12" s="163">
        <f t="shared" si="0"/>
        <v>266.66666666666669</v>
      </c>
      <c r="H12" s="163">
        <f t="shared" si="1"/>
        <v>4000</v>
      </c>
      <c r="I12" s="163">
        <v>8000</v>
      </c>
      <c r="J12" s="164">
        <v>15</v>
      </c>
      <c r="K12" s="164"/>
      <c r="L12" s="164"/>
      <c r="M12" s="164"/>
      <c r="N12" s="165"/>
      <c r="O12" s="165"/>
      <c r="P12" s="165"/>
      <c r="Q12" s="165"/>
      <c r="R12" s="166">
        <f t="shared" si="2"/>
        <v>4000.0000000000005</v>
      </c>
      <c r="S12" s="167"/>
      <c r="T12" s="167">
        <f t="shared" si="3"/>
        <v>4000.0000000000005</v>
      </c>
      <c r="U12" s="162"/>
      <c r="V12" s="296">
        <f t="shared" si="4"/>
        <v>4000.0000000000005</v>
      </c>
      <c r="W12" s="296">
        <v>1657.9</v>
      </c>
      <c r="AQ12" s="404">
        <f t="shared" si="5"/>
        <v>2342.1000000000004</v>
      </c>
      <c r="AR12" s="405">
        <f t="shared" si="6"/>
        <v>60.000000000000007</v>
      </c>
      <c r="AS12" s="404">
        <f t="shared" si="7"/>
        <v>39.035000000000004</v>
      </c>
      <c r="AT12" s="404">
        <f t="shared" si="8"/>
        <v>2342.1000000000004</v>
      </c>
    </row>
    <row r="13" spans="1:46" s="160" customFormat="1" ht="15.75" hidden="1" customHeight="1" x14ac:dyDescent="0.25">
      <c r="A13" s="123">
        <v>7</v>
      </c>
      <c r="B13" s="162" t="s">
        <v>19</v>
      </c>
      <c r="C13" s="162" t="s">
        <v>20</v>
      </c>
      <c r="D13" s="162" t="s">
        <v>177</v>
      </c>
      <c r="E13" s="162" t="s">
        <v>279</v>
      </c>
      <c r="F13" s="162"/>
      <c r="G13" s="163">
        <f t="shared" si="0"/>
        <v>266.66666666666669</v>
      </c>
      <c r="H13" s="163">
        <f t="shared" si="1"/>
        <v>4000</v>
      </c>
      <c r="I13" s="163">
        <v>8000</v>
      </c>
      <c r="J13" s="164">
        <v>12</v>
      </c>
      <c r="K13" s="164"/>
      <c r="L13" s="164"/>
      <c r="M13" s="164"/>
      <c r="N13" s="165"/>
      <c r="O13" s="165"/>
      <c r="P13" s="165"/>
      <c r="Q13" s="165"/>
      <c r="R13" s="166">
        <f t="shared" si="2"/>
        <v>3200</v>
      </c>
      <c r="S13" s="167"/>
      <c r="T13" s="167">
        <f t="shared" si="3"/>
        <v>3200</v>
      </c>
      <c r="U13" s="162"/>
      <c r="V13" s="296">
        <f t="shared" si="4"/>
        <v>3200</v>
      </c>
      <c r="W13" s="296">
        <v>0</v>
      </c>
      <c r="AQ13" s="404">
        <f t="shared" si="5"/>
        <v>3200</v>
      </c>
      <c r="AR13" s="405">
        <v>0</v>
      </c>
      <c r="AS13" s="404">
        <v>0</v>
      </c>
      <c r="AT13" s="404">
        <f t="shared" si="8"/>
        <v>0</v>
      </c>
    </row>
    <row r="14" spans="1:46" s="160" customFormat="1" ht="15.75" customHeight="1" x14ac:dyDescent="0.25">
      <c r="A14" s="123">
        <v>8</v>
      </c>
      <c r="B14" s="162" t="s">
        <v>19</v>
      </c>
      <c r="C14" s="162" t="s">
        <v>20</v>
      </c>
      <c r="D14" s="162" t="s">
        <v>174</v>
      </c>
      <c r="E14" s="162" t="s">
        <v>31</v>
      </c>
      <c r="F14" s="162"/>
      <c r="G14" s="163">
        <f t="shared" si="0"/>
        <v>400</v>
      </c>
      <c r="H14" s="163">
        <f t="shared" si="1"/>
        <v>6000</v>
      </c>
      <c r="I14" s="163">
        <v>12000</v>
      </c>
      <c r="J14" s="164">
        <v>15</v>
      </c>
      <c r="K14" s="164"/>
      <c r="L14" s="164"/>
      <c r="M14" s="164"/>
      <c r="N14" s="165">
        <v>1000</v>
      </c>
      <c r="O14" s="165"/>
      <c r="P14" s="165"/>
      <c r="Q14" s="165"/>
      <c r="R14" s="166">
        <f t="shared" si="2"/>
        <v>5000</v>
      </c>
      <c r="S14" s="167"/>
      <c r="T14" s="167">
        <f t="shared" si="3"/>
        <v>5000</v>
      </c>
      <c r="U14" s="162"/>
      <c r="V14" s="296">
        <f t="shared" si="4"/>
        <v>6000</v>
      </c>
      <c r="W14" s="296">
        <v>1657.9</v>
      </c>
      <c r="AQ14" s="404">
        <f t="shared" si="5"/>
        <v>3342.1</v>
      </c>
      <c r="AR14" s="405">
        <f t="shared" si="6"/>
        <v>60</v>
      </c>
      <c r="AS14" s="404">
        <f t="shared" si="7"/>
        <v>55.701666666666668</v>
      </c>
      <c r="AT14" s="404">
        <f t="shared" si="8"/>
        <v>3342.1</v>
      </c>
    </row>
    <row r="15" spans="1:46" s="160" customFormat="1" ht="15.75" customHeight="1" x14ac:dyDescent="0.25">
      <c r="A15" s="123">
        <v>9</v>
      </c>
      <c r="B15" s="162" t="s">
        <v>19</v>
      </c>
      <c r="C15" s="162" t="s">
        <v>20</v>
      </c>
      <c r="D15" s="162" t="s">
        <v>181</v>
      </c>
      <c r="E15" s="162" t="s">
        <v>130</v>
      </c>
      <c r="F15" s="162"/>
      <c r="G15" s="163">
        <f t="shared" si="0"/>
        <v>500</v>
      </c>
      <c r="H15" s="163">
        <f t="shared" si="1"/>
        <v>7500</v>
      </c>
      <c r="I15" s="163">
        <v>15000</v>
      </c>
      <c r="J15" s="164">
        <v>15</v>
      </c>
      <c r="K15" s="164"/>
      <c r="L15" s="164"/>
      <c r="M15" s="164"/>
      <c r="N15" s="165"/>
      <c r="O15" s="165"/>
      <c r="P15" s="165"/>
      <c r="Q15" s="165"/>
      <c r="R15" s="166">
        <f t="shared" si="2"/>
        <v>7500</v>
      </c>
      <c r="S15" s="167"/>
      <c r="T15" s="167">
        <f t="shared" si="3"/>
        <v>7500</v>
      </c>
      <c r="U15" s="162"/>
      <c r="V15" s="296">
        <f t="shared" si="4"/>
        <v>7500</v>
      </c>
      <c r="W15" s="296">
        <v>1657.9</v>
      </c>
      <c r="AQ15" s="404">
        <f t="shared" si="5"/>
        <v>5842.1</v>
      </c>
      <c r="AR15" s="405">
        <f t="shared" si="6"/>
        <v>60</v>
      </c>
      <c r="AS15" s="404">
        <f t="shared" si="7"/>
        <v>97.368333333333339</v>
      </c>
      <c r="AT15" s="404">
        <f t="shared" si="8"/>
        <v>5842.1</v>
      </c>
    </row>
    <row r="16" spans="1:46" s="160" customFormat="1" ht="15.75" hidden="1" customHeight="1" x14ac:dyDescent="0.25">
      <c r="A16" s="123">
        <v>10</v>
      </c>
      <c r="B16" s="162" t="s">
        <v>19</v>
      </c>
      <c r="C16" s="162" t="s">
        <v>20</v>
      </c>
      <c r="D16" s="162" t="s">
        <v>189</v>
      </c>
      <c r="E16" s="162">
        <v>0</v>
      </c>
      <c r="F16" s="162" t="s">
        <v>270</v>
      </c>
      <c r="G16" s="163">
        <f t="shared" si="0"/>
        <v>0</v>
      </c>
      <c r="H16" s="163">
        <f t="shared" si="1"/>
        <v>0</v>
      </c>
      <c r="I16" s="163">
        <v>0</v>
      </c>
      <c r="J16" s="164">
        <v>0</v>
      </c>
      <c r="K16" s="164"/>
      <c r="L16" s="164"/>
      <c r="M16" s="164"/>
      <c r="N16" s="165"/>
      <c r="O16" s="165"/>
      <c r="P16" s="165"/>
      <c r="Q16" s="165"/>
      <c r="R16" s="166">
        <f t="shared" si="2"/>
        <v>0</v>
      </c>
      <c r="S16" s="167"/>
      <c r="T16" s="167">
        <f t="shared" si="3"/>
        <v>0</v>
      </c>
      <c r="U16" s="162"/>
      <c r="V16" s="296">
        <f t="shared" si="4"/>
        <v>0</v>
      </c>
      <c r="W16" s="296"/>
      <c r="AQ16" s="404">
        <v>0</v>
      </c>
      <c r="AR16" s="405">
        <v>0</v>
      </c>
      <c r="AS16" s="404">
        <f t="shared" si="7"/>
        <v>0</v>
      </c>
      <c r="AT16" s="404">
        <f t="shared" si="8"/>
        <v>0</v>
      </c>
    </row>
    <row r="17" spans="1:46" s="160" customFormat="1" ht="15.75" customHeight="1" x14ac:dyDescent="0.25">
      <c r="A17" s="123">
        <v>11</v>
      </c>
      <c r="B17" s="162" t="s">
        <v>19</v>
      </c>
      <c r="C17" s="162" t="s">
        <v>176</v>
      </c>
      <c r="D17" s="162" t="s">
        <v>175</v>
      </c>
      <c r="E17" s="162" t="s">
        <v>36</v>
      </c>
      <c r="F17" s="162"/>
      <c r="G17" s="163">
        <f t="shared" si="0"/>
        <v>833.33333333333337</v>
      </c>
      <c r="H17" s="163">
        <f t="shared" si="1"/>
        <v>12500</v>
      </c>
      <c r="I17" s="163">
        <v>25000</v>
      </c>
      <c r="J17" s="164">
        <v>15</v>
      </c>
      <c r="K17" s="164"/>
      <c r="L17" s="164"/>
      <c r="M17" s="164"/>
      <c r="N17" s="165"/>
      <c r="O17" s="165"/>
      <c r="P17" s="165"/>
      <c r="Q17" s="165"/>
      <c r="R17" s="166">
        <f t="shared" si="2"/>
        <v>10842.1</v>
      </c>
      <c r="S17" s="167">
        <v>1657.9</v>
      </c>
      <c r="T17" s="167">
        <f t="shared" si="3"/>
        <v>12500</v>
      </c>
      <c r="U17" s="162"/>
      <c r="V17" s="296">
        <f t="shared" si="4"/>
        <v>12500</v>
      </c>
      <c r="W17" s="296">
        <v>1657.9</v>
      </c>
      <c r="AQ17" s="404">
        <f t="shared" si="5"/>
        <v>10842.1</v>
      </c>
      <c r="AR17" s="405">
        <f t="shared" si="6"/>
        <v>60</v>
      </c>
      <c r="AS17" s="404">
        <f t="shared" si="7"/>
        <v>180.70166666666668</v>
      </c>
      <c r="AT17" s="404">
        <f t="shared" si="8"/>
        <v>10842.1</v>
      </c>
    </row>
    <row r="18" spans="1:46" s="160" customFormat="1" ht="15.75" customHeight="1" x14ac:dyDescent="0.25">
      <c r="A18" s="123">
        <v>12</v>
      </c>
      <c r="B18" s="162" t="s">
        <v>19</v>
      </c>
      <c r="C18" s="162" t="s">
        <v>176</v>
      </c>
      <c r="D18" s="162" t="s">
        <v>37</v>
      </c>
      <c r="E18" s="162" t="s">
        <v>38</v>
      </c>
      <c r="F18" s="162"/>
      <c r="G18" s="163">
        <f t="shared" si="0"/>
        <v>266.66666666666669</v>
      </c>
      <c r="H18" s="163">
        <f t="shared" si="1"/>
        <v>4000</v>
      </c>
      <c r="I18" s="163">
        <v>8000</v>
      </c>
      <c r="J18" s="164">
        <v>15</v>
      </c>
      <c r="K18" s="164"/>
      <c r="L18" s="164"/>
      <c r="M18" s="164"/>
      <c r="N18" s="165"/>
      <c r="O18" s="165"/>
      <c r="P18" s="165"/>
      <c r="Q18" s="165"/>
      <c r="R18" s="166">
        <f t="shared" si="2"/>
        <v>2342.1000000000004</v>
      </c>
      <c r="S18" s="167">
        <v>1657.9</v>
      </c>
      <c r="T18" s="167">
        <f t="shared" si="3"/>
        <v>4000.0000000000005</v>
      </c>
      <c r="U18" s="162"/>
      <c r="V18" s="296">
        <f t="shared" si="4"/>
        <v>4000.0000000000005</v>
      </c>
      <c r="W18" s="296">
        <v>1657.9</v>
      </c>
      <c r="AQ18" s="404">
        <f t="shared" si="5"/>
        <v>2342.1000000000004</v>
      </c>
      <c r="AR18" s="405">
        <f t="shared" si="6"/>
        <v>60.000000000000007</v>
      </c>
      <c r="AS18" s="404">
        <f t="shared" si="7"/>
        <v>39.035000000000004</v>
      </c>
      <c r="AT18" s="404">
        <f t="shared" si="8"/>
        <v>2342.1000000000004</v>
      </c>
    </row>
    <row r="19" spans="1:46" s="160" customFormat="1" ht="15.75" customHeight="1" x14ac:dyDescent="0.25">
      <c r="A19" s="123">
        <v>13</v>
      </c>
      <c r="B19" s="162" t="s">
        <v>19</v>
      </c>
      <c r="C19" s="162" t="s">
        <v>176</v>
      </c>
      <c r="D19" s="169" t="s">
        <v>33</v>
      </c>
      <c r="E19" s="162" t="s">
        <v>34</v>
      </c>
      <c r="F19" s="162"/>
      <c r="G19" s="163">
        <f t="shared" si="0"/>
        <v>333.33333333333331</v>
      </c>
      <c r="H19" s="163">
        <f t="shared" si="1"/>
        <v>5000</v>
      </c>
      <c r="I19" s="163">
        <v>10000</v>
      </c>
      <c r="J19" s="164">
        <v>15</v>
      </c>
      <c r="K19" s="164"/>
      <c r="L19" s="164"/>
      <c r="M19" s="164"/>
      <c r="N19" s="165"/>
      <c r="O19" s="165"/>
      <c r="P19" s="165"/>
      <c r="Q19" s="165"/>
      <c r="R19" s="166">
        <f t="shared" si="2"/>
        <v>3342.1</v>
      </c>
      <c r="S19" s="167">
        <v>1657.9</v>
      </c>
      <c r="T19" s="167">
        <f t="shared" si="3"/>
        <v>5000</v>
      </c>
      <c r="U19" s="162"/>
      <c r="V19" s="296">
        <f t="shared" si="4"/>
        <v>5000</v>
      </c>
      <c r="W19" s="296">
        <v>1657.9</v>
      </c>
      <c r="AQ19" s="404">
        <f t="shared" si="5"/>
        <v>3342.1</v>
      </c>
      <c r="AR19" s="405">
        <f t="shared" si="6"/>
        <v>60</v>
      </c>
      <c r="AS19" s="404">
        <f t="shared" si="7"/>
        <v>55.701666666666668</v>
      </c>
      <c r="AT19" s="404">
        <f t="shared" si="8"/>
        <v>3342.1</v>
      </c>
    </row>
    <row r="20" spans="1:46" s="160" customFormat="1" ht="15.75" customHeight="1" x14ac:dyDescent="0.25">
      <c r="A20" s="123">
        <v>14</v>
      </c>
      <c r="B20" s="162" t="s">
        <v>19</v>
      </c>
      <c r="C20" s="162" t="s">
        <v>176</v>
      </c>
      <c r="D20" s="169" t="s">
        <v>182</v>
      </c>
      <c r="E20" s="162" t="s">
        <v>183</v>
      </c>
      <c r="F20" s="162"/>
      <c r="G20" s="163">
        <f>H20/15</f>
        <v>266.66666666666669</v>
      </c>
      <c r="H20" s="163">
        <f t="shared" si="1"/>
        <v>4000</v>
      </c>
      <c r="I20" s="163">
        <v>8000</v>
      </c>
      <c r="J20" s="164">
        <v>15</v>
      </c>
      <c r="K20" s="164"/>
      <c r="L20" s="164"/>
      <c r="M20" s="164"/>
      <c r="N20" s="165"/>
      <c r="O20" s="165"/>
      <c r="P20" s="165"/>
      <c r="Q20" s="165"/>
      <c r="R20" s="166">
        <f t="shared" si="2"/>
        <v>4000.0000000000005</v>
      </c>
      <c r="S20" s="167"/>
      <c r="T20" s="167">
        <f t="shared" si="3"/>
        <v>4000.0000000000005</v>
      </c>
      <c r="U20" s="162"/>
      <c r="V20" s="296">
        <f t="shared" si="4"/>
        <v>4000.0000000000005</v>
      </c>
      <c r="W20" s="296">
        <v>1657.9</v>
      </c>
      <c r="AQ20" s="404">
        <f t="shared" si="5"/>
        <v>2342.1000000000004</v>
      </c>
      <c r="AR20" s="405">
        <f t="shared" si="6"/>
        <v>60.000000000000007</v>
      </c>
      <c r="AS20" s="404">
        <f t="shared" si="7"/>
        <v>39.035000000000004</v>
      </c>
      <c r="AT20" s="404">
        <f t="shared" si="8"/>
        <v>2342.1000000000004</v>
      </c>
    </row>
    <row r="21" spans="1:46" s="160" customFormat="1" ht="15.75" customHeight="1" x14ac:dyDescent="0.25">
      <c r="A21" s="123">
        <v>15</v>
      </c>
      <c r="B21" s="349" t="s">
        <v>19</v>
      </c>
      <c r="C21" s="349" t="s">
        <v>238</v>
      </c>
      <c r="D21" s="350" t="s">
        <v>239</v>
      </c>
      <c r="E21" s="349" t="s">
        <v>240</v>
      </c>
      <c r="F21" s="349" t="s">
        <v>271</v>
      </c>
      <c r="G21" s="351">
        <f t="shared" ref="G21:G24" si="9">H21/15</f>
        <v>266.66666666666669</v>
      </c>
      <c r="H21" s="351">
        <f t="shared" si="1"/>
        <v>4000</v>
      </c>
      <c r="I21" s="351">
        <v>8000</v>
      </c>
      <c r="J21" s="352">
        <v>5</v>
      </c>
      <c r="K21" s="352"/>
      <c r="L21" s="352"/>
      <c r="M21" s="352"/>
      <c r="N21" s="353"/>
      <c r="O21" s="353"/>
      <c r="P21" s="353"/>
      <c r="Q21" s="353"/>
      <c r="R21" s="354">
        <v>8000</v>
      </c>
      <c r="S21" s="355"/>
      <c r="T21" s="355">
        <v>4000</v>
      </c>
      <c r="U21" s="162"/>
      <c r="V21" s="296">
        <f t="shared" si="4"/>
        <v>1333.3333333333335</v>
      </c>
      <c r="W21" s="296">
        <v>1657.9</v>
      </c>
      <c r="AQ21" s="404">
        <f t="shared" si="5"/>
        <v>2342.1</v>
      </c>
      <c r="AR21" s="405">
        <f t="shared" si="6"/>
        <v>60</v>
      </c>
      <c r="AS21" s="404">
        <f t="shared" si="7"/>
        <v>39.034999999999997</v>
      </c>
      <c r="AT21" s="404">
        <f t="shared" si="8"/>
        <v>2342.1</v>
      </c>
    </row>
    <row r="22" spans="1:46" s="160" customFormat="1" ht="15.75" customHeight="1" x14ac:dyDescent="0.25">
      <c r="A22" s="123">
        <v>16</v>
      </c>
      <c r="B22" s="349" t="s">
        <v>19</v>
      </c>
      <c r="C22" s="349" t="s">
        <v>238</v>
      </c>
      <c r="D22" s="350" t="s">
        <v>241</v>
      </c>
      <c r="E22" s="349" t="s">
        <v>280</v>
      </c>
      <c r="F22" s="349"/>
      <c r="G22" s="351">
        <f t="shared" si="9"/>
        <v>200</v>
      </c>
      <c r="H22" s="351">
        <f t="shared" si="1"/>
        <v>3000</v>
      </c>
      <c r="I22" s="351">
        <v>6000</v>
      </c>
      <c r="J22" s="352">
        <v>13</v>
      </c>
      <c r="K22" s="352"/>
      <c r="L22" s="352"/>
      <c r="M22" s="352"/>
      <c r="N22" s="353"/>
      <c r="O22" s="353"/>
      <c r="P22" s="353"/>
      <c r="Q22" s="353"/>
      <c r="R22" s="354">
        <f t="shared" si="2"/>
        <v>3000</v>
      </c>
      <c r="S22" s="355"/>
      <c r="T22" s="355">
        <v>3000</v>
      </c>
      <c r="U22" s="162"/>
      <c r="V22" s="296">
        <f t="shared" si="4"/>
        <v>2600</v>
      </c>
      <c r="W22" s="296">
        <v>1657.9</v>
      </c>
      <c r="AQ22" s="404">
        <f t="shared" si="5"/>
        <v>1342.1</v>
      </c>
      <c r="AR22" s="405">
        <f t="shared" si="6"/>
        <v>60</v>
      </c>
      <c r="AS22" s="404">
        <f t="shared" si="7"/>
        <v>22.368333333333332</v>
      </c>
      <c r="AT22" s="404">
        <f t="shared" si="8"/>
        <v>1342.1</v>
      </c>
    </row>
    <row r="23" spans="1:46" s="160" customFormat="1" ht="15.75" customHeight="1" x14ac:dyDescent="0.25">
      <c r="A23" s="123">
        <v>17</v>
      </c>
      <c r="B23" s="349" t="s">
        <v>19</v>
      </c>
      <c r="C23" s="349" t="s">
        <v>20</v>
      </c>
      <c r="D23" s="350" t="s">
        <v>267</v>
      </c>
      <c r="E23" s="349" t="s">
        <v>268</v>
      </c>
      <c r="F23" s="349" t="s">
        <v>271</v>
      </c>
      <c r="G23" s="351">
        <f t="shared" si="9"/>
        <v>100</v>
      </c>
      <c r="H23" s="351">
        <f t="shared" si="1"/>
        <v>1500</v>
      </c>
      <c r="I23" s="351">
        <v>3000</v>
      </c>
      <c r="J23" s="352">
        <v>15</v>
      </c>
      <c r="K23" s="352"/>
      <c r="L23" s="352"/>
      <c r="M23" s="352"/>
      <c r="N23" s="353"/>
      <c r="O23" s="353"/>
      <c r="P23" s="353"/>
      <c r="Q23" s="353"/>
      <c r="R23" s="354">
        <f t="shared" si="2"/>
        <v>1500</v>
      </c>
      <c r="S23" s="355"/>
      <c r="T23" s="355">
        <f t="shared" si="3"/>
        <v>1500</v>
      </c>
      <c r="U23" s="162"/>
      <c r="V23" s="296">
        <f t="shared" si="4"/>
        <v>1500</v>
      </c>
      <c r="W23" s="296">
        <v>1500</v>
      </c>
      <c r="AQ23" s="404">
        <v>0</v>
      </c>
      <c r="AR23" s="405">
        <v>0</v>
      </c>
      <c r="AS23" s="404">
        <f t="shared" si="7"/>
        <v>0</v>
      </c>
      <c r="AT23" s="404">
        <f t="shared" si="8"/>
        <v>0</v>
      </c>
    </row>
    <row r="24" spans="1:46" s="160" customFormat="1" ht="15.75" customHeight="1" x14ac:dyDescent="0.25">
      <c r="A24" s="123">
        <v>18</v>
      </c>
      <c r="B24" s="398" t="s">
        <v>19</v>
      </c>
      <c r="C24" s="398" t="s">
        <v>20</v>
      </c>
      <c r="D24" s="399" t="s">
        <v>275</v>
      </c>
      <c r="E24" s="398" t="s">
        <v>276</v>
      </c>
      <c r="F24" s="398"/>
      <c r="G24" s="400">
        <f t="shared" si="9"/>
        <v>166.66666666666666</v>
      </c>
      <c r="H24" s="400">
        <f t="shared" si="1"/>
        <v>2500</v>
      </c>
      <c r="I24" s="400">
        <v>5000</v>
      </c>
      <c r="J24" s="401">
        <v>15</v>
      </c>
      <c r="K24" s="352"/>
      <c r="L24" s="352"/>
      <c r="M24" s="352"/>
      <c r="N24" s="353"/>
      <c r="O24" s="353"/>
      <c r="P24" s="353"/>
      <c r="Q24" s="353"/>
      <c r="R24" s="354" t="s">
        <v>277</v>
      </c>
      <c r="S24" s="355"/>
      <c r="T24" s="355" t="s">
        <v>277</v>
      </c>
      <c r="U24" s="162"/>
      <c r="V24" s="296">
        <f t="shared" si="4"/>
        <v>2500</v>
      </c>
      <c r="W24" s="296">
        <v>0</v>
      </c>
      <c r="AQ24" s="404">
        <v>0</v>
      </c>
      <c r="AR24" s="405">
        <v>0</v>
      </c>
      <c r="AS24" s="404">
        <f t="shared" si="7"/>
        <v>0</v>
      </c>
      <c r="AT24" s="404">
        <f t="shared" si="8"/>
        <v>0</v>
      </c>
    </row>
    <row r="25" spans="1:46" s="261" customFormat="1" ht="15.75" customHeight="1" x14ac:dyDescent="0.25">
      <c r="A25" s="123">
        <v>19</v>
      </c>
      <c r="B25" s="356" t="s">
        <v>188</v>
      </c>
      <c r="C25" s="356" t="s">
        <v>20</v>
      </c>
      <c r="D25" s="356" t="s">
        <v>185</v>
      </c>
      <c r="E25" s="356" t="s">
        <v>52</v>
      </c>
      <c r="F25" s="356"/>
      <c r="G25" s="357">
        <f t="shared" si="0"/>
        <v>266.66666666666669</v>
      </c>
      <c r="H25" s="358">
        <f t="shared" si="1"/>
        <v>4000</v>
      </c>
      <c r="I25" s="357">
        <v>8000</v>
      </c>
      <c r="J25" s="359">
        <v>15</v>
      </c>
      <c r="K25" s="359"/>
      <c r="L25" s="359"/>
      <c r="M25" s="359"/>
      <c r="N25" s="360"/>
      <c r="O25" s="360"/>
      <c r="P25" s="360">
        <v>50</v>
      </c>
      <c r="Q25" s="360"/>
      <c r="R25" s="361">
        <f t="shared" si="2"/>
        <v>4000</v>
      </c>
      <c r="S25" s="362"/>
      <c r="T25" s="362">
        <v>4000</v>
      </c>
      <c r="U25" s="254"/>
      <c r="V25" s="345">
        <f t="shared" si="4"/>
        <v>4000.0000000000005</v>
      </c>
      <c r="W25" s="296">
        <v>1657.9</v>
      </c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404">
        <f t="shared" si="5"/>
        <v>2342.1</v>
      </c>
      <c r="AR25" s="405">
        <f t="shared" si="6"/>
        <v>60</v>
      </c>
      <c r="AS25" s="404">
        <f t="shared" si="7"/>
        <v>39.034999999999997</v>
      </c>
      <c r="AT25" s="404">
        <f t="shared" si="8"/>
        <v>2342.1</v>
      </c>
    </row>
    <row r="26" spans="1:46" s="261" customFormat="1" ht="15.75" customHeight="1" x14ac:dyDescent="0.25">
      <c r="A26" s="123">
        <v>20</v>
      </c>
      <c r="B26" s="356" t="s">
        <v>188</v>
      </c>
      <c r="C26" s="356" t="s">
        <v>187</v>
      </c>
      <c r="D26" s="356" t="s">
        <v>41</v>
      </c>
      <c r="E26" s="356" t="s">
        <v>42</v>
      </c>
      <c r="F26" s="356"/>
      <c r="G26" s="357">
        <f t="shared" si="0"/>
        <v>240</v>
      </c>
      <c r="H26" s="358">
        <f t="shared" si="1"/>
        <v>3600</v>
      </c>
      <c r="I26" s="357">
        <v>7200</v>
      </c>
      <c r="J26" s="359">
        <v>15</v>
      </c>
      <c r="K26" s="359"/>
      <c r="L26" s="359"/>
      <c r="M26" s="359"/>
      <c r="N26" s="360"/>
      <c r="O26" s="360"/>
      <c r="P26" s="360"/>
      <c r="Q26" s="360"/>
      <c r="R26" s="361">
        <f t="shared" si="2"/>
        <v>1942.1</v>
      </c>
      <c r="S26" s="362">
        <v>1657.9</v>
      </c>
      <c r="T26" s="362">
        <f t="shared" si="3"/>
        <v>3600</v>
      </c>
      <c r="U26" s="254"/>
      <c r="V26" s="345">
        <f t="shared" si="4"/>
        <v>3600</v>
      </c>
      <c r="W26" s="296">
        <v>1657.9</v>
      </c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404">
        <f t="shared" si="5"/>
        <v>1942.1</v>
      </c>
      <c r="AR26" s="405">
        <f t="shared" si="6"/>
        <v>60</v>
      </c>
      <c r="AS26" s="404">
        <f t="shared" si="7"/>
        <v>32.368333333333332</v>
      </c>
      <c r="AT26" s="404">
        <f t="shared" si="8"/>
        <v>1942.1</v>
      </c>
    </row>
    <row r="27" spans="1:46" s="261" customFormat="1" ht="15.75" customHeight="1" x14ac:dyDescent="0.25">
      <c r="A27" s="123">
        <v>21</v>
      </c>
      <c r="B27" s="356" t="s">
        <v>188</v>
      </c>
      <c r="C27" s="356" t="s">
        <v>187</v>
      </c>
      <c r="D27" s="356" t="s">
        <v>41</v>
      </c>
      <c r="E27" s="356" t="s">
        <v>249</v>
      </c>
      <c r="F27" s="356"/>
      <c r="G27" s="357">
        <v>200</v>
      </c>
      <c r="H27" s="358">
        <v>3000</v>
      </c>
      <c r="I27" s="357">
        <v>6000</v>
      </c>
      <c r="J27" s="359">
        <v>15</v>
      </c>
      <c r="K27" s="359"/>
      <c r="L27" s="359"/>
      <c r="M27" s="359"/>
      <c r="N27" s="360"/>
      <c r="O27" s="360"/>
      <c r="P27" s="360"/>
      <c r="Q27" s="360"/>
      <c r="R27" s="361">
        <f t="shared" si="2"/>
        <v>2197.37</v>
      </c>
      <c r="S27" s="362">
        <v>552.63</v>
      </c>
      <c r="T27" s="362">
        <v>2750</v>
      </c>
      <c r="U27" s="254"/>
      <c r="V27" s="345"/>
      <c r="W27" s="296">
        <v>1657.9</v>
      </c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404">
        <f t="shared" si="5"/>
        <v>1092.0999999999999</v>
      </c>
      <c r="AR27" s="405">
        <f t="shared" si="6"/>
        <v>60</v>
      </c>
      <c r="AS27" s="404">
        <f t="shared" si="7"/>
        <v>18.201666666666664</v>
      </c>
      <c r="AT27" s="404">
        <f t="shared" si="8"/>
        <v>1092.0999999999999</v>
      </c>
    </row>
    <row r="28" spans="1:46" s="270" customFormat="1" ht="15.75" customHeight="1" x14ac:dyDescent="0.25">
      <c r="A28" s="123">
        <v>22</v>
      </c>
      <c r="B28" s="363" t="s">
        <v>45</v>
      </c>
      <c r="C28" s="363" t="s">
        <v>20</v>
      </c>
      <c r="D28" s="363" t="s">
        <v>185</v>
      </c>
      <c r="E28" s="363" t="s">
        <v>61</v>
      </c>
      <c r="F28" s="363"/>
      <c r="G28" s="364">
        <f t="shared" ref="G28" si="10">H28/15</f>
        <v>266.66666666666669</v>
      </c>
      <c r="H28" s="358">
        <f t="shared" si="1"/>
        <v>4000</v>
      </c>
      <c r="I28" s="364">
        <v>8000</v>
      </c>
      <c r="J28" s="365">
        <v>15</v>
      </c>
      <c r="K28" s="365"/>
      <c r="L28" s="365"/>
      <c r="M28" s="365"/>
      <c r="N28" s="366"/>
      <c r="O28" s="366">
        <v>200</v>
      </c>
      <c r="P28" s="366"/>
      <c r="Q28" s="366"/>
      <c r="R28" s="367">
        <v>4000</v>
      </c>
      <c r="S28" s="368"/>
      <c r="T28" s="368">
        <v>4000</v>
      </c>
      <c r="U28" s="264"/>
      <c r="V28" s="348">
        <f t="shared" ref="V28" si="11">G28*J28</f>
        <v>4000.0000000000005</v>
      </c>
      <c r="W28" s="296">
        <v>1657.9</v>
      </c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404">
        <f t="shared" si="5"/>
        <v>2342.1</v>
      </c>
      <c r="AR28" s="405">
        <f t="shared" si="6"/>
        <v>60</v>
      </c>
      <c r="AS28" s="404">
        <f t="shared" si="7"/>
        <v>39.034999999999997</v>
      </c>
      <c r="AT28" s="404">
        <f t="shared" si="8"/>
        <v>2342.1</v>
      </c>
    </row>
    <row r="29" spans="1:46" s="270" customFormat="1" ht="15.75" customHeight="1" x14ac:dyDescent="0.25">
      <c r="A29" s="123">
        <v>23</v>
      </c>
      <c r="B29" s="363" t="s">
        <v>45</v>
      </c>
      <c r="C29" s="363" t="s">
        <v>187</v>
      </c>
      <c r="D29" s="363" t="s">
        <v>41</v>
      </c>
      <c r="E29" s="363" t="s">
        <v>53</v>
      </c>
      <c r="F29" s="363"/>
      <c r="G29" s="364">
        <f t="shared" si="0"/>
        <v>266.66666666666669</v>
      </c>
      <c r="H29" s="358">
        <f t="shared" si="1"/>
        <v>4000</v>
      </c>
      <c r="I29" s="364">
        <v>8000</v>
      </c>
      <c r="J29" s="365">
        <v>14</v>
      </c>
      <c r="K29" s="365">
        <v>1</v>
      </c>
      <c r="L29" s="365"/>
      <c r="M29" s="365"/>
      <c r="N29" s="366"/>
      <c r="O29" s="366"/>
      <c r="P29" s="366"/>
      <c r="Q29" s="366"/>
      <c r="R29" s="367">
        <v>4000</v>
      </c>
      <c r="S29" s="368">
        <v>1657.9</v>
      </c>
      <c r="T29" s="368">
        <v>4000</v>
      </c>
      <c r="U29" s="264"/>
      <c r="V29" s="348">
        <f t="shared" si="4"/>
        <v>3733.3333333333335</v>
      </c>
      <c r="W29" s="296">
        <v>1657.9</v>
      </c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404">
        <f t="shared" si="5"/>
        <v>2342.1</v>
      </c>
      <c r="AR29" s="405">
        <f t="shared" si="6"/>
        <v>60</v>
      </c>
      <c r="AS29" s="404">
        <f t="shared" si="7"/>
        <v>39.034999999999997</v>
      </c>
      <c r="AT29" s="404">
        <f t="shared" si="8"/>
        <v>2342.1</v>
      </c>
    </row>
    <row r="30" spans="1:46" s="270" customFormat="1" ht="15.75" hidden="1" customHeight="1" x14ac:dyDescent="0.25">
      <c r="A30" s="123">
        <v>24</v>
      </c>
      <c r="B30" s="363" t="s">
        <v>45</v>
      </c>
      <c r="C30" s="363" t="s">
        <v>20</v>
      </c>
      <c r="D30" s="363" t="s">
        <v>185</v>
      </c>
      <c r="E30" s="402"/>
      <c r="F30" s="363" t="s">
        <v>272</v>
      </c>
      <c r="G30" s="364">
        <v>266.67</v>
      </c>
      <c r="H30" s="358">
        <v>4000</v>
      </c>
      <c r="I30" s="364">
        <v>0</v>
      </c>
      <c r="J30" s="365">
        <v>8</v>
      </c>
      <c r="K30" s="365"/>
      <c r="L30" s="365"/>
      <c r="M30" s="365"/>
      <c r="N30" s="366"/>
      <c r="O30" s="366"/>
      <c r="P30" s="366"/>
      <c r="Q30" s="366"/>
      <c r="R30" s="367">
        <v>0</v>
      </c>
      <c r="S30" s="368"/>
      <c r="T30" s="368">
        <v>0</v>
      </c>
      <c r="U30" s="264"/>
      <c r="V30" s="348"/>
      <c r="W30" s="296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404">
        <f t="shared" si="5"/>
        <v>0</v>
      </c>
      <c r="AR30" s="405">
        <v>0</v>
      </c>
      <c r="AS30" s="404">
        <f t="shared" si="7"/>
        <v>0</v>
      </c>
      <c r="AT30" s="404">
        <f t="shared" si="8"/>
        <v>0</v>
      </c>
    </row>
    <row r="31" spans="1:46" s="270" customFormat="1" ht="15.75" customHeight="1" x14ac:dyDescent="0.25">
      <c r="A31" s="123">
        <v>25</v>
      </c>
      <c r="B31" s="363" t="s">
        <v>45</v>
      </c>
      <c r="C31" s="363" t="s">
        <v>79</v>
      </c>
      <c r="D31" s="363" t="s">
        <v>186</v>
      </c>
      <c r="E31" s="363" t="s">
        <v>132</v>
      </c>
      <c r="F31" s="363"/>
      <c r="G31" s="364">
        <f>H31/15</f>
        <v>200</v>
      </c>
      <c r="H31" s="358">
        <f>I31/2</f>
        <v>3000</v>
      </c>
      <c r="I31" s="364">
        <v>6000</v>
      </c>
      <c r="J31" s="365">
        <v>15</v>
      </c>
      <c r="K31" s="365"/>
      <c r="L31" s="365"/>
      <c r="M31" s="365"/>
      <c r="N31" s="366"/>
      <c r="O31" s="366"/>
      <c r="P31" s="366"/>
      <c r="Q31" s="366"/>
      <c r="R31" s="367">
        <f>T31-S31</f>
        <v>3000</v>
      </c>
      <c r="S31" s="368"/>
      <c r="T31" s="368">
        <f>(J31*G31)-(N31+O31+P31+Q31)</f>
        <v>3000</v>
      </c>
      <c r="U31" s="264"/>
      <c r="V31" s="348">
        <f>G31*J31</f>
        <v>3000</v>
      </c>
      <c r="W31" s="296">
        <v>1657.9</v>
      </c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404">
        <f t="shared" si="5"/>
        <v>1342.1</v>
      </c>
      <c r="AR31" s="405">
        <f t="shared" si="6"/>
        <v>60</v>
      </c>
      <c r="AS31" s="404">
        <f t="shared" si="7"/>
        <v>22.368333333333332</v>
      </c>
      <c r="AT31" s="404">
        <f t="shared" si="8"/>
        <v>1342.1</v>
      </c>
    </row>
    <row r="32" spans="1:46" s="261" customFormat="1" ht="15.75" customHeight="1" x14ac:dyDescent="0.25">
      <c r="A32" s="123">
        <v>26</v>
      </c>
      <c r="B32" s="356" t="s">
        <v>54</v>
      </c>
      <c r="C32" s="356" t="s">
        <v>20</v>
      </c>
      <c r="D32" s="356" t="s">
        <v>185</v>
      </c>
      <c r="E32" s="356" t="s">
        <v>55</v>
      </c>
      <c r="F32" s="356"/>
      <c r="G32" s="357">
        <f>H32/15</f>
        <v>266.66666666666669</v>
      </c>
      <c r="H32" s="358">
        <f>I32/2</f>
        <v>4000</v>
      </c>
      <c r="I32" s="357">
        <v>8000</v>
      </c>
      <c r="J32" s="359">
        <v>15</v>
      </c>
      <c r="K32" s="359"/>
      <c r="L32" s="359"/>
      <c r="M32" s="359"/>
      <c r="N32" s="360"/>
      <c r="O32" s="360"/>
      <c r="P32" s="360">
        <v>50</v>
      </c>
      <c r="Q32" s="360"/>
      <c r="R32" s="361">
        <f>T32-S32</f>
        <v>2342.1</v>
      </c>
      <c r="S32" s="362">
        <v>1657.9</v>
      </c>
      <c r="T32" s="362">
        <v>4000</v>
      </c>
      <c r="U32" s="254"/>
      <c r="V32" s="345">
        <f>G32*J32</f>
        <v>4000.0000000000005</v>
      </c>
      <c r="W32" s="296">
        <v>1657.9</v>
      </c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404">
        <f t="shared" si="5"/>
        <v>2342.1</v>
      </c>
      <c r="AR32" s="405">
        <f t="shared" si="6"/>
        <v>60</v>
      </c>
      <c r="AS32" s="404">
        <f t="shared" si="7"/>
        <v>39.034999999999997</v>
      </c>
      <c r="AT32" s="404">
        <f t="shared" si="8"/>
        <v>2342.1</v>
      </c>
    </row>
    <row r="33" spans="1:46" s="261" customFormat="1" ht="15.75" customHeight="1" x14ac:dyDescent="0.25">
      <c r="A33" s="123">
        <v>27</v>
      </c>
      <c r="B33" s="356" t="s">
        <v>54</v>
      </c>
      <c r="C33" s="356" t="s">
        <v>20</v>
      </c>
      <c r="D33" s="356" t="s">
        <v>185</v>
      </c>
      <c r="E33" s="356" t="s">
        <v>284</v>
      </c>
      <c r="F33" s="356" t="s">
        <v>270</v>
      </c>
      <c r="G33" s="357">
        <f t="shared" si="0"/>
        <v>166.66666666666666</v>
      </c>
      <c r="H33" s="358">
        <f t="shared" ref="H33" si="12">I33/2</f>
        <v>2500</v>
      </c>
      <c r="I33" s="357">
        <v>5000</v>
      </c>
      <c r="J33" s="359">
        <v>9</v>
      </c>
      <c r="K33" s="359">
        <v>1</v>
      </c>
      <c r="L33" s="359"/>
      <c r="M33" s="359"/>
      <c r="N33" s="360"/>
      <c r="O33" s="360"/>
      <c r="P33" s="360"/>
      <c r="Q33" s="360"/>
      <c r="R33" s="361">
        <f>T33-S33</f>
        <v>3000</v>
      </c>
      <c r="S33" s="362"/>
      <c r="T33" s="362">
        <v>3000</v>
      </c>
      <c r="U33" s="254"/>
      <c r="V33" s="345">
        <f>G33*J33</f>
        <v>1500</v>
      </c>
      <c r="W33" s="296">
        <v>1657.9</v>
      </c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404">
        <f t="shared" si="5"/>
        <v>1342.1</v>
      </c>
      <c r="AR33" s="405">
        <f t="shared" si="6"/>
        <v>60</v>
      </c>
      <c r="AS33" s="404">
        <f t="shared" si="7"/>
        <v>22.368333333333332</v>
      </c>
      <c r="AT33" s="404">
        <f t="shared" si="8"/>
        <v>1342.1</v>
      </c>
    </row>
    <row r="34" spans="1:46" s="261" customFormat="1" ht="15.75" customHeight="1" x14ac:dyDescent="0.25">
      <c r="A34" s="123">
        <v>28</v>
      </c>
      <c r="B34" s="356" t="s">
        <v>54</v>
      </c>
      <c r="C34" s="356" t="s">
        <v>187</v>
      </c>
      <c r="D34" s="356" t="s">
        <v>41</v>
      </c>
      <c r="E34" s="369" t="s">
        <v>93</v>
      </c>
      <c r="F34" s="369"/>
      <c r="G34" s="357">
        <f>H34/15</f>
        <v>200</v>
      </c>
      <c r="H34" s="358">
        <f>I34/2</f>
        <v>3000</v>
      </c>
      <c r="I34" s="357">
        <v>6000</v>
      </c>
      <c r="J34" s="359">
        <v>15</v>
      </c>
      <c r="K34" s="359"/>
      <c r="L34" s="359"/>
      <c r="M34" s="359"/>
      <c r="N34" s="360"/>
      <c r="O34" s="360"/>
      <c r="P34" s="360">
        <v>250</v>
      </c>
      <c r="Q34" s="360"/>
      <c r="R34" s="361">
        <f>T34-S34</f>
        <v>3000</v>
      </c>
      <c r="S34" s="370"/>
      <c r="T34" s="362">
        <v>3000</v>
      </c>
      <c r="U34" s="254"/>
      <c r="V34" s="345">
        <f>G34*J34</f>
        <v>3000</v>
      </c>
      <c r="W34" s="296">
        <v>1657.9</v>
      </c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404">
        <f t="shared" si="5"/>
        <v>1342.1</v>
      </c>
      <c r="AR34" s="405">
        <f t="shared" si="6"/>
        <v>60</v>
      </c>
      <c r="AS34" s="404">
        <f t="shared" si="7"/>
        <v>22.368333333333332</v>
      </c>
      <c r="AT34" s="404">
        <f t="shared" si="8"/>
        <v>1342.1</v>
      </c>
    </row>
    <row r="35" spans="1:46" s="261" customFormat="1" ht="15.75" customHeight="1" x14ac:dyDescent="0.25">
      <c r="A35" s="123">
        <v>29</v>
      </c>
      <c r="B35" s="356" t="s">
        <v>54</v>
      </c>
      <c r="C35" s="356" t="s">
        <v>187</v>
      </c>
      <c r="D35" s="356" t="s">
        <v>48</v>
      </c>
      <c r="E35" s="356" t="s">
        <v>58</v>
      </c>
      <c r="F35" s="356"/>
      <c r="G35" s="357">
        <f t="shared" si="0"/>
        <v>200</v>
      </c>
      <c r="H35" s="358">
        <f t="shared" si="1"/>
        <v>3000</v>
      </c>
      <c r="I35" s="357">
        <v>6000</v>
      </c>
      <c r="J35" s="359">
        <v>15</v>
      </c>
      <c r="K35" s="359"/>
      <c r="L35" s="359"/>
      <c r="M35" s="359"/>
      <c r="N35" s="360"/>
      <c r="O35" s="360"/>
      <c r="P35" s="360"/>
      <c r="Q35" s="360"/>
      <c r="R35" s="361">
        <f t="shared" si="2"/>
        <v>3000</v>
      </c>
      <c r="S35" s="362"/>
      <c r="T35" s="362">
        <f t="shared" si="3"/>
        <v>3000</v>
      </c>
      <c r="U35" s="254"/>
      <c r="V35" s="345">
        <f t="shared" si="4"/>
        <v>3000</v>
      </c>
      <c r="W35" s="296">
        <v>1657.9</v>
      </c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404">
        <f t="shared" si="5"/>
        <v>1342.1</v>
      </c>
      <c r="AR35" s="405">
        <f t="shared" si="6"/>
        <v>60</v>
      </c>
      <c r="AS35" s="404">
        <f t="shared" si="7"/>
        <v>22.368333333333332</v>
      </c>
      <c r="AT35" s="404">
        <f t="shared" si="8"/>
        <v>1342.1</v>
      </c>
    </row>
    <row r="36" spans="1:46" s="270" customFormat="1" ht="15.75" hidden="1" customHeight="1" x14ac:dyDescent="0.25">
      <c r="A36" s="123">
        <v>30</v>
      </c>
      <c r="B36" s="363" t="s">
        <v>59</v>
      </c>
      <c r="C36" s="363" t="s">
        <v>20</v>
      </c>
      <c r="D36" s="363" t="s">
        <v>185</v>
      </c>
      <c r="E36" s="363"/>
      <c r="F36" s="363"/>
      <c r="G36" s="364">
        <f>H36/15</f>
        <v>266.66666666666669</v>
      </c>
      <c r="H36" s="358">
        <f>I36/2</f>
        <v>4000</v>
      </c>
      <c r="I36" s="364">
        <v>8000</v>
      </c>
      <c r="J36" s="365">
        <v>15</v>
      </c>
      <c r="K36" s="365"/>
      <c r="L36" s="365"/>
      <c r="M36" s="365"/>
      <c r="N36" s="366"/>
      <c r="O36" s="366"/>
      <c r="P36" s="366">
        <v>500</v>
      </c>
      <c r="Q36" s="366"/>
      <c r="R36" s="367">
        <f>T36-S36</f>
        <v>4000</v>
      </c>
      <c r="S36" s="368"/>
      <c r="T36" s="368">
        <v>4000</v>
      </c>
      <c r="U36" s="264"/>
      <c r="V36" s="348">
        <f>G36*J36</f>
        <v>4000.0000000000005</v>
      </c>
      <c r="W36" s="296">
        <v>0</v>
      </c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404">
        <f t="shared" si="5"/>
        <v>4000</v>
      </c>
      <c r="AR36" s="405">
        <v>0</v>
      </c>
      <c r="AS36" s="404">
        <v>0</v>
      </c>
      <c r="AT36" s="404">
        <f t="shared" si="8"/>
        <v>0</v>
      </c>
    </row>
    <row r="37" spans="1:46" s="270" customFormat="1" ht="15.75" customHeight="1" x14ac:dyDescent="0.25">
      <c r="A37" s="123">
        <v>31</v>
      </c>
      <c r="B37" s="363" t="s">
        <v>59</v>
      </c>
      <c r="C37" s="363" t="s">
        <v>187</v>
      </c>
      <c r="D37" s="363" t="s">
        <v>48</v>
      </c>
      <c r="E37" s="363" t="s">
        <v>49</v>
      </c>
      <c r="F37" s="363"/>
      <c r="G37" s="364">
        <f t="shared" si="0"/>
        <v>200</v>
      </c>
      <c r="H37" s="358">
        <f t="shared" si="1"/>
        <v>3000</v>
      </c>
      <c r="I37" s="364">
        <v>6000</v>
      </c>
      <c r="J37" s="365">
        <v>15</v>
      </c>
      <c r="K37" s="365"/>
      <c r="L37" s="366">
        <v>250</v>
      </c>
      <c r="M37" s="366">
        <v>250</v>
      </c>
      <c r="N37" s="366">
        <f>565</f>
        <v>565</v>
      </c>
      <c r="O37" s="366">
        <v>50</v>
      </c>
      <c r="P37" s="366"/>
      <c r="Q37" s="366"/>
      <c r="R37" s="367">
        <f t="shared" si="2"/>
        <v>3000</v>
      </c>
      <c r="S37" s="368"/>
      <c r="T37" s="371">
        <v>3000</v>
      </c>
      <c r="U37" s="264"/>
      <c r="V37" s="348">
        <f t="shared" si="4"/>
        <v>3000</v>
      </c>
      <c r="W37" s="296">
        <v>1657.9</v>
      </c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404">
        <f t="shared" si="5"/>
        <v>1342.1</v>
      </c>
      <c r="AR37" s="405">
        <f t="shared" si="6"/>
        <v>60</v>
      </c>
      <c r="AS37" s="404">
        <f t="shared" si="7"/>
        <v>22.368333333333332</v>
      </c>
      <c r="AT37" s="404">
        <f t="shared" si="8"/>
        <v>1342.1</v>
      </c>
    </row>
    <row r="38" spans="1:46" s="270" customFormat="1" ht="15.75" customHeight="1" x14ac:dyDescent="0.25">
      <c r="A38" s="123">
        <v>32</v>
      </c>
      <c r="B38" s="363" t="s">
        <v>59</v>
      </c>
      <c r="C38" s="363" t="s">
        <v>187</v>
      </c>
      <c r="D38" s="363" t="s">
        <v>186</v>
      </c>
      <c r="E38" s="372" t="s">
        <v>62</v>
      </c>
      <c r="F38" s="372"/>
      <c r="G38" s="364">
        <f t="shared" si="0"/>
        <v>200</v>
      </c>
      <c r="H38" s="358">
        <f t="shared" si="1"/>
        <v>3000</v>
      </c>
      <c r="I38" s="364">
        <v>6000</v>
      </c>
      <c r="J38" s="365">
        <v>14</v>
      </c>
      <c r="K38" s="365">
        <v>1</v>
      </c>
      <c r="L38" s="365"/>
      <c r="M38" s="365"/>
      <c r="N38" s="366"/>
      <c r="O38" s="366"/>
      <c r="P38" s="366"/>
      <c r="Q38" s="366"/>
      <c r="R38" s="367">
        <v>3000</v>
      </c>
      <c r="S38" s="368"/>
      <c r="T38" s="368">
        <v>3000</v>
      </c>
      <c r="U38" s="264"/>
      <c r="V38" s="348">
        <f t="shared" si="4"/>
        <v>2800</v>
      </c>
      <c r="W38" s="296">
        <v>1657.9</v>
      </c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404">
        <f t="shared" si="5"/>
        <v>1342.1</v>
      </c>
      <c r="AR38" s="405">
        <f t="shared" si="6"/>
        <v>60</v>
      </c>
      <c r="AS38" s="404">
        <f t="shared" si="7"/>
        <v>22.368333333333332</v>
      </c>
      <c r="AT38" s="404">
        <f t="shared" si="8"/>
        <v>1342.1</v>
      </c>
    </row>
    <row r="39" spans="1:46" s="270" customFormat="1" ht="15.75" customHeight="1" x14ac:dyDescent="0.25">
      <c r="A39" s="123">
        <v>33</v>
      </c>
      <c r="B39" s="363" t="s">
        <v>59</v>
      </c>
      <c r="C39" s="363" t="s">
        <v>187</v>
      </c>
      <c r="D39" s="363" t="s">
        <v>41</v>
      </c>
      <c r="E39" s="363" t="s">
        <v>148</v>
      </c>
      <c r="F39" s="363"/>
      <c r="G39" s="364">
        <f>H39/15</f>
        <v>200</v>
      </c>
      <c r="H39" s="358">
        <f>I39/2</f>
        <v>3000</v>
      </c>
      <c r="I39" s="364">
        <v>6000</v>
      </c>
      <c r="J39" s="365">
        <v>14</v>
      </c>
      <c r="K39" s="365">
        <v>1</v>
      </c>
      <c r="L39" s="365"/>
      <c r="M39" s="365"/>
      <c r="N39" s="366"/>
      <c r="O39" s="366"/>
      <c r="P39" s="366"/>
      <c r="Q39" s="366"/>
      <c r="R39" s="367">
        <f>T39-S39</f>
        <v>3000</v>
      </c>
      <c r="S39" s="368"/>
      <c r="T39" s="368">
        <v>3000</v>
      </c>
      <c r="U39" s="264"/>
      <c r="V39" s="348">
        <f>G39*J39</f>
        <v>2800</v>
      </c>
      <c r="W39" s="296">
        <v>1657.9</v>
      </c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404">
        <f t="shared" si="5"/>
        <v>1342.1</v>
      </c>
      <c r="AR39" s="405">
        <f t="shared" si="6"/>
        <v>60</v>
      </c>
      <c r="AS39" s="404">
        <f t="shared" si="7"/>
        <v>22.368333333333332</v>
      </c>
      <c r="AT39" s="404">
        <f t="shared" si="8"/>
        <v>1342.1</v>
      </c>
    </row>
    <row r="40" spans="1:46" s="270" customFormat="1" ht="15.75" customHeight="1" x14ac:dyDescent="0.25">
      <c r="A40" s="123">
        <v>34</v>
      </c>
      <c r="B40" s="363" t="s">
        <v>59</v>
      </c>
      <c r="C40" s="363" t="s">
        <v>187</v>
      </c>
      <c r="D40" s="363" t="s">
        <v>48</v>
      </c>
      <c r="E40" s="372" t="s">
        <v>63</v>
      </c>
      <c r="F40" s="372"/>
      <c r="G40" s="364">
        <f t="shared" si="0"/>
        <v>200</v>
      </c>
      <c r="H40" s="358">
        <f t="shared" si="1"/>
        <v>3000</v>
      </c>
      <c r="I40" s="364">
        <v>6000</v>
      </c>
      <c r="J40" s="365">
        <v>12</v>
      </c>
      <c r="K40" s="365">
        <v>3</v>
      </c>
      <c r="L40" s="365"/>
      <c r="M40" s="365"/>
      <c r="N40" s="366"/>
      <c r="O40" s="366">
        <v>50</v>
      </c>
      <c r="P40" s="366"/>
      <c r="Q40" s="366"/>
      <c r="R40" s="367">
        <f t="shared" si="2"/>
        <v>3000</v>
      </c>
      <c r="S40" s="368"/>
      <c r="T40" s="368">
        <v>3000</v>
      </c>
      <c r="U40" s="264"/>
      <c r="V40" s="348">
        <f t="shared" si="4"/>
        <v>2400</v>
      </c>
      <c r="W40" s="296">
        <v>1657.9</v>
      </c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404">
        <f t="shared" si="5"/>
        <v>1342.1</v>
      </c>
      <c r="AR40" s="405">
        <f t="shared" si="6"/>
        <v>60</v>
      </c>
      <c r="AS40" s="404">
        <f t="shared" si="7"/>
        <v>22.368333333333332</v>
      </c>
      <c r="AT40" s="404">
        <f t="shared" si="8"/>
        <v>1342.1</v>
      </c>
    </row>
    <row r="41" spans="1:46" s="261" customFormat="1" ht="15.75" customHeight="1" x14ac:dyDescent="0.25">
      <c r="A41" s="123">
        <v>35</v>
      </c>
      <c r="B41" s="356" t="s">
        <v>64</v>
      </c>
      <c r="C41" s="356" t="s">
        <v>40</v>
      </c>
      <c r="D41" s="356" t="s">
        <v>41</v>
      </c>
      <c r="E41" s="356" t="s">
        <v>76</v>
      </c>
      <c r="F41" s="356"/>
      <c r="G41" s="357">
        <f t="shared" si="0"/>
        <v>233.33333333333334</v>
      </c>
      <c r="H41" s="358">
        <f t="shared" si="1"/>
        <v>3500</v>
      </c>
      <c r="I41" s="357">
        <v>7000</v>
      </c>
      <c r="J41" s="359">
        <v>14</v>
      </c>
      <c r="K41" s="359">
        <v>1</v>
      </c>
      <c r="L41" s="359"/>
      <c r="M41" s="359"/>
      <c r="N41" s="360"/>
      <c r="O41" s="360"/>
      <c r="P41" s="360"/>
      <c r="Q41" s="360"/>
      <c r="R41" s="361">
        <f t="shared" si="2"/>
        <v>3500</v>
      </c>
      <c r="S41" s="362"/>
      <c r="T41" s="362">
        <v>3500</v>
      </c>
      <c r="U41" s="254"/>
      <c r="V41" s="345">
        <f t="shared" si="4"/>
        <v>3266.666666666667</v>
      </c>
      <c r="W41" s="296">
        <v>1657.9</v>
      </c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404">
        <f t="shared" si="5"/>
        <v>1842.1</v>
      </c>
      <c r="AR41" s="405">
        <f t="shared" si="6"/>
        <v>60</v>
      </c>
      <c r="AS41" s="404">
        <f t="shared" si="7"/>
        <v>30.701666666666664</v>
      </c>
      <c r="AT41" s="404">
        <f t="shared" si="8"/>
        <v>1842.1</v>
      </c>
    </row>
    <row r="42" spans="1:46" s="261" customFormat="1" ht="15.75" customHeight="1" x14ac:dyDescent="0.25">
      <c r="A42" s="123">
        <v>36</v>
      </c>
      <c r="B42" s="356" t="s">
        <v>64</v>
      </c>
      <c r="C42" s="356" t="s">
        <v>40</v>
      </c>
      <c r="D42" s="356" t="s">
        <v>74</v>
      </c>
      <c r="E42" s="356" t="s">
        <v>138</v>
      </c>
      <c r="F42" s="356" t="s">
        <v>273</v>
      </c>
      <c r="G42" s="357">
        <f t="shared" si="0"/>
        <v>200</v>
      </c>
      <c r="H42" s="358">
        <f t="shared" si="1"/>
        <v>3000</v>
      </c>
      <c r="I42" s="357">
        <v>6000</v>
      </c>
      <c r="J42" s="359">
        <v>6</v>
      </c>
      <c r="K42" s="359"/>
      <c r="L42" s="360"/>
      <c r="M42" s="360">
        <v>250</v>
      </c>
      <c r="N42" s="360"/>
      <c r="O42" s="360"/>
      <c r="P42" s="360"/>
      <c r="Q42" s="360"/>
      <c r="R42" s="361">
        <f>T42-S42</f>
        <v>3000</v>
      </c>
      <c r="S42" s="362"/>
      <c r="T42" s="362">
        <v>3000</v>
      </c>
      <c r="U42" s="254"/>
      <c r="V42" s="345">
        <f t="shared" si="4"/>
        <v>1200</v>
      </c>
      <c r="W42" s="296">
        <v>1657.9</v>
      </c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404">
        <f t="shared" si="5"/>
        <v>1342.1</v>
      </c>
      <c r="AR42" s="405">
        <f t="shared" si="6"/>
        <v>60</v>
      </c>
      <c r="AS42" s="404">
        <f t="shared" si="7"/>
        <v>22.368333333333332</v>
      </c>
      <c r="AT42" s="404">
        <f t="shared" si="8"/>
        <v>1342.1</v>
      </c>
    </row>
    <row r="43" spans="1:46" s="261" customFormat="1" ht="15.75" customHeight="1" x14ac:dyDescent="0.25">
      <c r="A43" s="123">
        <v>37</v>
      </c>
      <c r="B43" s="356" t="s">
        <v>64</v>
      </c>
      <c r="C43" s="356" t="s">
        <v>40</v>
      </c>
      <c r="D43" s="356" t="s">
        <v>185</v>
      </c>
      <c r="E43" s="356" t="s">
        <v>71</v>
      </c>
      <c r="F43" s="356"/>
      <c r="G43" s="357">
        <f t="shared" si="0"/>
        <v>266.66666666666669</v>
      </c>
      <c r="H43" s="358">
        <f t="shared" si="1"/>
        <v>4000</v>
      </c>
      <c r="I43" s="357">
        <v>8000</v>
      </c>
      <c r="J43" s="359">
        <v>15</v>
      </c>
      <c r="K43" s="359"/>
      <c r="L43" s="359"/>
      <c r="M43" s="359"/>
      <c r="N43" s="360"/>
      <c r="O43" s="360"/>
      <c r="P43" s="360"/>
      <c r="Q43" s="360"/>
      <c r="R43" s="361">
        <f t="shared" si="2"/>
        <v>4000.0000000000005</v>
      </c>
      <c r="S43" s="362"/>
      <c r="T43" s="362">
        <f t="shared" si="3"/>
        <v>4000.0000000000005</v>
      </c>
      <c r="U43" s="254"/>
      <c r="V43" s="345">
        <f t="shared" si="4"/>
        <v>4000.0000000000005</v>
      </c>
      <c r="W43" s="296">
        <v>1657.9</v>
      </c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404">
        <f t="shared" si="5"/>
        <v>2342.1000000000004</v>
      </c>
      <c r="AR43" s="405">
        <f t="shared" si="6"/>
        <v>60.000000000000007</v>
      </c>
      <c r="AS43" s="404">
        <f t="shared" si="7"/>
        <v>39.035000000000004</v>
      </c>
      <c r="AT43" s="404">
        <f t="shared" si="8"/>
        <v>2342.1000000000004</v>
      </c>
    </row>
    <row r="44" spans="1:46" s="270" customFormat="1" ht="15.75" customHeight="1" x14ac:dyDescent="0.25">
      <c r="A44" s="123">
        <v>38</v>
      </c>
      <c r="B44" s="363" t="s">
        <v>72</v>
      </c>
      <c r="C44" s="363" t="s">
        <v>20</v>
      </c>
      <c r="D44" s="363" t="s">
        <v>185</v>
      </c>
      <c r="E44" s="363" t="s">
        <v>124</v>
      </c>
      <c r="F44" s="363"/>
      <c r="G44" s="364">
        <f t="shared" si="0"/>
        <v>333.33333333333331</v>
      </c>
      <c r="H44" s="358">
        <f t="shared" si="1"/>
        <v>5000</v>
      </c>
      <c r="I44" s="364">
        <v>10000</v>
      </c>
      <c r="J44" s="365">
        <v>15</v>
      </c>
      <c r="K44" s="365"/>
      <c r="L44" s="365"/>
      <c r="M44" s="365"/>
      <c r="N44" s="366"/>
      <c r="O44" s="366"/>
      <c r="P44" s="366">
        <v>100</v>
      </c>
      <c r="Q44" s="366"/>
      <c r="R44" s="367">
        <f t="shared" si="2"/>
        <v>5000</v>
      </c>
      <c r="S44" s="368"/>
      <c r="T44" s="368">
        <v>5000</v>
      </c>
      <c r="U44" s="264"/>
      <c r="V44" s="348">
        <f t="shared" si="4"/>
        <v>5000</v>
      </c>
      <c r="W44" s="296">
        <v>1657.9</v>
      </c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404">
        <f t="shared" si="5"/>
        <v>3342.1</v>
      </c>
      <c r="AR44" s="405">
        <f t="shared" si="6"/>
        <v>60</v>
      </c>
      <c r="AS44" s="404">
        <f t="shared" si="7"/>
        <v>55.701666666666668</v>
      </c>
      <c r="AT44" s="404">
        <f t="shared" si="8"/>
        <v>3342.1</v>
      </c>
    </row>
    <row r="45" spans="1:46" s="270" customFormat="1" ht="15.75" customHeight="1" x14ac:dyDescent="0.25">
      <c r="A45" s="123">
        <v>39</v>
      </c>
      <c r="B45" s="363" t="s">
        <v>72</v>
      </c>
      <c r="C45" s="363" t="s">
        <v>187</v>
      </c>
      <c r="D45" s="363" t="s">
        <v>41</v>
      </c>
      <c r="E45" s="363" t="s">
        <v>135</v>
      </c>
      <c r="F45" s="363"/>
      <c r="G45" s="364">
        <f t="shared" si="0"/>
        <v>233.33333333333334</v>
      </c>
      <c r="H45" s="358">
        <f t="shared" si="1"/>
        <v>3500</v>
      </c>
      <c r="I45" s="364">
        <v>7000</v>
      </c>
      <c r="J45" s="365">
        <v>15</v>
      </c>
      <c r="K45" s="365"/>
      <c r="L45" s="365"/>
      <c r="M45" s="365"/>
      <c r="N45" s="366"/>
      <c r="O45" s="366"/>
      <c r="P45" s="366"/>
      <c r="Q45" s="366"/>
      <c r="R45" s="367">
        <f t="shared" si="2"/>
        <v>3500</v>
      </c>
      <c r="S45" s="368"/>
      <c r="T45" s="368">
        <f t="shared" si="3"/>
        <v>3500</v>
      </c>
      <c r="U45" s="264"/>
      <c r="V45" s="348">
        <f t="shared" si="4"/>
        <v>3500</v>
      </c>
      <c r="W45" s="296">
        <v>1657.9</v>
      </c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404">
        <f t="shared" si="5"/>
        <v>1842.1</v>
      </c>
      <c r="AR45" s="405">
        <f t="shared" si="6"/>
        <v>60</v>
      </c>
      <c r="AS45" s="404">
        <f t="shared" si="7"/>
        <v>30.701666666666664</v>
      </c>
      <c r="AT45" s="404">
        <f t="shared" si="8"/>
        <v>1842.1</v>
      </c>
    </row>
    <row r="46" spans="1:46" s="270" customFormat="1" ht="15.75" hidden="1" customHeight="1" x14ac:dyDescent="0.25">
      <c r="A46" s="123">
        <v>40</v>
      </c>
      <c r="B46" s="363" t="s">
        <v>72</v>
      </c>
      <c r="C46" s="363" t="s">
        <v>20</v>
      </c>
      <c r="D46" s="363" t="s">
        <v>51</v>
      </c>
      <c r="E46" s="363" t="s">
        <v>104</v>
      </c>
      <c r="F46" s="363"/>
      <c r="G46" s="364">
        <f t="shared" si="0"/>
        <v>200</v>
      </c>
      <c r="H46" s="358">
        <f t="shared" si="1"/>
        <v>3000</v>
      </c>
      <c r="I46" s="364">
        <v>6000</v>
      </c>
      <c r="J46" s="365">
        <v>14</v>
      </c>
      <c r="K46" s="365">
        <v>1</v>
      </c>
      <c r="L46" s="365"/>
      <c r="M46" s="365"/>
      <c r="N46" s="366">
        <v>1000</v>
      </c>
      <c r="O46" s="366"/>
      <c r="P46" s="366"/>
      <c r="Q46" s="366"/>
      <c r="R46" s="367">
        <f t="shared" si="2"/>
        <v>0</v>
      </c>
      <c r="S46" s="368"/>
      <c r="T46" s="368">
        <v>0</v>
      </c>
      <c r="U46" s="264"/>
      <c r="V46" s="348">
        <f t="shared" si="4"/>
        <v>2800</v>
      </c>
      <c r="W46" s="296">
        <v>0</v>
      </c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404">
        <f t="shared" si="5"/>
        <v>0</v>
      </c>
      <c r="AR46" s="405">
        <v>0</v>
      </c>
      <c r="AS46" s="404">
        <f t="shared" si="7"/>
        <v>0</v>
      </c>
      <c r="AT46" s="404">
        <f t="shared" si="8"/>
        <v>0</v>
      </c>
    </row>
    <row r="47" spans="1:46" s="270" customFormat="1" ht="15.75" customHeight="1" x14ac:dyDescent="0.25">
      <c r="A47" s="123">
        <v>41</v>
      </c>
      <c r="B47" s="363" t="s">
        <v>72</v>
      </c>
      <c r="C47" s="363" t="s">
        <v>187</v>
      </c>
      <c r="D47" s="363" t="s">
        <v>41</v>
      </c>
      <c r="E47" s="363" t="s">
        <v>57</v>
      </c>
      <c r="F47" s="363"/>
      <c r="G47" s="364">
        <f>H47/15</f>
        <v>166.66666666666666</v>
      </c>
      <c r="H47" s="358">
        <f>I47/2</f>
        <v>2500</v>
      </c>
      <c r="I47" s="364">
        <v>5000</v>
      </c>
      <c r="J47" s="365">
        <v>15</v>
      </c>
      <c r="K47" s="365"/>
      <c r="L47" s="365"/>
      <c r="M47" s="365"/>
      <c r="N47" s="366"/>
      <c r="O47" s="366"/>
      <c r="P47" s="366"/>
      <c r="Q47" s="366"/>
      <c r="R47" s="367">
        <v>2500</v>
      </c>
      <c r="S47" s="368"/>
      <c r="T47" s="368">
        <v>2500</v>
      </c>
      <c r="U47" s="264"/>
      <c r="V47" s="348">
        <f>G47*J47</f>
        <v>2500</v>
      </c>
      <c r="W47" s="296">
        <v>1657.9</v>
      </c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404">
        <f t="shared" si="5"/>
        <v>842.09999999999991</v>
      </c>
      <c r="AR47" s="405">
        <f t="shared" si="6"/>
        <v>60</v>
      </c>
      <c r="AS47" s="404">
        <f t="shared" si="7"/>
        <v>14.034999999999998</v>
      </c>
      <c r="AT47" s="404">
        <f t="shared" si="8"/>
        <v>842.09999999999991</v>
      </c>
    </row>
    <row r="48" spans="1:46" s="270" customFormat="1" ht="15.75" customHeight="1" x14ac:dyDescent="0.25">
      <c r="A48" s="123">
        <v>42</v>
      </c>
      <c r="B48" s="363" t="s">
        <v>72</v>
      </c>
      <c r="C48" s="363" t="s">
        <v>187</v>
      </c>
      <c r="D48" s="363" t="s">
        <v>48</v>
      </c>
      <c r="E48" s="363" t="s">
        <v>78</v>
      </c>
      <c r="F48" s="363"/>
      <c r="G48" s="364">
        <f t="shared" si="0"/>
        <v>200</v>
      </c>
      <c r="H48" s="358">
        <f t="shared" si="1"/>
        <v>3000</v>
      </c>
      <c r="I48" s="364">
        <v>6000</v>
      </c>
      <c r="J48" s="365">
        <v>15</v>
      </c>
      <c r="K48" s="365"/>
      <c r="L48" s="365"/>
      <c r="M48" s="365"/>
      <c r="N48" s="366"/>
      <c r="O48" s="366"/>
      <c r="P48" s="366"/>
      <c r="Q48" s="366"/>
      <c r="R48" s="367">
        <f t="shared" si="2"/>
        <v>3000</v>
      </c>
      <c r="S48" s="368"/>
      <c r="T48" s="368">
        <f t="shared" si="3"/>
        <v>3000</v>
      </c>
      <c r="U48" s="264"/>
      <c r="V48" s="348">
        <f t="shared" si="4"/>
        <v>3000</v>
      </c>
      <c r="W48" s="296">
        <v>1657.9</v>
      </c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404">
        <f t="shared" si="5"/>
        <v>1342.1</v>
      </c>
      <c r="AR48" s="405">
        <f t="shared" si="6"/>
        <v>60</v>
      </c>
      <c r="AS48" s="404">
        <f t="shared" si="7"/>
        <v>22.368333333333332</v>
      </c>
      <c r="AT48" s="404">
        <f t="shared" si="8"/>
        <v>1342.1</v>
      </c>
    </row>
    <row r="49" spans="1:46" s="270" customFormat="1" ht="15.75" customHeight="1" x14ac:dyDescent="0.25">
      <c r="A49" s="123">
        <v>43</v>
      </c>
      <c r="B49" s="363" t="s">
        <v>72</v>
      </c>
      <c r="C49" s="363" t="s">
        <v>245</v>
      </c>
      <c r="D49" s="363" t="s">
        <v>244</v>
      </c>
      <c r="E49" s="363" t="s">
        <v>246</v>
      </c>
      <c r="F49" s="363" t="s">
        <v>273</v>
      </c>
      <c r="G49" s="364">
        <v>166.67</v>
      </c>
      <c r="H49" s="358">
        <v>2500</v>
      </c>
      <c r="I49" s="364">
        <v>5000</v>
      </c>
      <c r="J49" s="365">
        <v>7</v>
      </c>
      <c r="K49" s="365"/>
      <c r="L49" s="365"/>
      <c r="M49" s="365"/>
      <c r="N49" s="366"/>
      <c r="O49" s="366"/>
      <c r="P49" s="366"/>
      <c r="Q49" s="366"/>
      <c r="R49" s="367">
        <f t="shared" si="2"/>
        <v>2500</v>
      </c>
      <c r="S49" s="368"/>
      <c r="T49" s="368">
        <v>2500</v>
      </c>
      <c r="U49" s="264"/>
      <c r="V49" s="348"/>
      <c r="W49" s="296">
        <v>1657.9</v>
      </c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404">
        <f t="shared" si="5"/>
        <v>842.09999999999991</v>
      </c>
      <c r="AR49" s="405">
        <f t="shared" si="6"/>
        <v>60</v>
      </c>
      <c r="AS49" s="404">
        <f t="shared" si="7"/>
        <v>14.034999999999998</v>
      </c>
      <c r="AT49" s="404">
        <f t="shared" si="8"/>
        <v>842.09999999999991</v>
      </c>
    </row>
    <row r="50" spans="1:46" s="270" customFormat="1" ht="15.75" customHeight="1" x14ac:dyDescent="0.25">
      <c r="A50" s="123">
        <v>44</v>
      </c>
      <c r="B50" s="363" t="s">
        <v>72</v>
      </c>
      <c r="C50" s="363" t="s">
        <v>121</v>
      </c>
      <c r="D50" s="363" t="s">
        <v>80</v>
      </c>
      <c r="E50" s="363" t="s">
        <v>81</v>
      </c>
      <c r="F50" s="363"/>
      <c r="G50" s="364">
        <f t="shared" si="0"/>
        <v>233.33333333333334</v>
      </c>
      <c r="H50" s="358">
        <f t="shared" si="1"/>
        <v>3500</v>
      </c>
      <c r="I50" s="364">
        <v>7000</v>
      </c>
      <c r="J50" s="365">
        <v>15</v>
      </c>
      <c r="K50" s="365"/>
      <c r="L50" s="365"/>
      <c r="M50" s="365"/>
      <c r="N50" s="366"/>
      <c r="O50" s="366"/>
      <c r="P50" s="366"/>
      <c r="Q50" s="366"/>
      <c r="R50" s="367">
        <f t="shared" si="2"/>
        <v>3500</v>
      </c>
      <c r="S50" s="368"/>
      <c r="T50" s="368">
        <f t="shared" si="3"/>
        <v>3500</v>
      </c>
      <c r="U50" s="264"/>
      <c r="V50" s="348">
        <f t="shared" si="4"/>
        <v>3500</v>
      </c>
      <c r="W50" s="296">
        <v>1657.9</v>
      </c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404">
        <f t="shared" si="5"/>
        <v>1842.1</v>
      </c>
      <c r="AR50" s="405">
        <f t="shared" si="6"/>
        <v>60</v>
      </c>
      <c r="AS50" s="404">
        <f t="shared" si="7"/>
        <v>30.701666666666664</v>
      </c>
      <c r="AT50" s="404">
        <f t="shared" si="8"/>
        <v>1842.1</v>
      </c>
    </row>
    <row r="51" spans="1:46" s="270" customFormat="1" ht="15.75" customHeight="1" x14ac:dyDescent="0.25">
      <c r="A51" s="123">
        <v>45</v>
      </c>
      <c r="B51" s="363" t="s">
        <v>72</v>
      </c>
      <c r="C51" s="363" t="s">
        <v>40</v>
      </c>
      <c r="D51" s="363" t="s">
        <v>41</v>
      </c>
      <c r="E51" s="363" t="s">
        <v>115</v>
      </c>
      <c r="F51" s="363"/>
      <c r="G51" s="364">
        <f>H51/15</f>
        <v>200</v>
      </c>
      <c r="H51" s="358">
        <f>I51/2</f>
        <v>3000</v>
      </c>
      <c r="I51" s="364">
        <v>6000</v>
      </c>
      <c r="J51" s="365">
        <v>15</v>
      </c>
      <c r="K51" s="365"/>
      <c r="L51" s="366"/>
      <c r="M51" s="366"/>
      <c r="N51" s="366"/>
      <c r="O51" s="366"/>
      <c r="P51" s="366"/>
      <c r="Q51" s="366"/>
      <c r="R51" s="367">
        <f>T51-S51</f>
        <v>3000</v>
      </c>
      <c r="S51" s="368"/>
      <c r="T51" s="368">
        <f>(J51*G51+L51+M51)-(N51+O51+P51+Q51)</f>
        <v>3000</v>
      </c>
      <c r="U51" s="264"/>
      <c r="V51" s="348">
        <f>G51*J51</f>
        <v>3000</v>
      </c>
      <c r="W51" s="296">
        <v>1657.9</v>
      </c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404">
        <f t="shared" si="5"/>
        <v>1342.1</v>
      </c>
      <c r="AR51" s="405">
        <f t="shared" si="6"/>
        <v>60</v>
      </c>
      <c r="AS51" s="404">
        <f t="shared" si="7"/>
        <v>22.368333333333332</v>
      </c>
      <c r="AT51" s="404">
        <f t="shared" si="8"/>
        <v>1342.1</v>
      </c>
    </row>
    <row r="52" spans="1:46" s="261" customFormat="1" ht="15.75" customHeight="1" x14ac:dyDescent="0.25">
      <c r="A52" s="123">
        <v>46</v>
      </c>
      <c r="B52" s="356" t="s">
        <v>82</v>
      </c>
      <c r="C52" s="356" t="s">
        <v>187</v>
      </c>
      <c r="D52" s="356" t="s">
        <v>193</v>
      </c>
      <c r="E52" s="356" t="s">
        <v>86</v>
      </c>
      <c r="F52" s="356"/>
      <c r="G52" s="357">
        <f t="shared" si="0"/>
        <v>200</v>
      </c>
      <c r="H52" s="358">
        <f t="shared" si="1"/>
        <v>3000</v>
      </c>
      <c r="I52" s="357">
        <v>6000</v>
      </c>
      <c r="J52" s="359">
        <v>15</v>
      </c>
      <c r="K52" s="359"/>
      <c r="L52" s="359"/>
      <c r="M52" s="360">
        <v>250</v>
      </c>
      <c r="N52" s="360"/>
      <c r="O52" s="360"/>
      <c r="P52" s="360"/>
      <c r="Q52" s="360"/>
      <c r="R52" s="361">
        <f t="shared" si="2"/>
        <v>3250</v>
      </c>
      <c r="S52" s="362"/>
      <c r="T52" s="362">
        <f>(J52*G52+M52)-(N52+O52+P52+Q52)</f>
        <v>3250</v>
      </c>
      <c r="U52" s="254"/>
      <c r="V52" s="345">
        <f t="shared" si="4"/>
        <v>3000</v>
      </c>
      <c r="W52" s="296">
        <v>1657.9</v>
      </c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404">
        <f t="shared" si="5"/>
        <v>1592.1</v>
      </c>
      <c r="AR52" s="405">
        <f t="shared" si="6"/>
        <v>59.999999999999993</v>
      </c>
      <c r="AS52" s="404">
        <f t="shared" si="7"/>
        <v>26.535</v>
      </c>
      <c r="AT52" s="404">
        <f t="shared" si="8"/>
        <v>1592.1</v>
      </c>
    </row>
    <row r="53" spans="1:46" s="261" customFormat="1" ht="15.75" hidden="1" customHeight="1" x14ac:dyDescent="0.25">
      <c r="A53" s="123">
        <v>47</v>
      </c>
      <c r="B53" s="356" t="s">
        <v>82</v>
      </c>
      <c r="C53" s="356" t="s">
        <v>65</v>
      </c>
      <c r="D53" s="356" t="s">
        <v>66</v>
      </c>
      <c r="E53" s="356" t="s">
        <v>265</v>
      </c>
      <c r="F53" s="356" t="s">
        <v>270</v>
      </c>
      <c r="G53" s="357">
        <f t="shared" si="0"/>
        <v>166.66666666666666</v>
      </c>
      <c r="H53" s="358">
        <f t="shared" si="1"/>
        <v>2500</v>
      </c>
      <c r="I53" s="357">
        <v>5000</v>
      </c>
      <c r="J53" s="359">
        <v>10</v>
      </c>
      <c r="K53" s="359"/>
      <c r="L53" s="359"/>
      <c r="M53" s="359"/>
      <c r="N53" s="360"/>
      <c r="O53" s="360"/>
      <c r="P53" s="360"/>
      <c r="Q53" s="360"/>
      <c r="R53" s="361">
        <f t="shared" si="2"/>
        <v>2500</v>
      </c>
      <c r="S53" s="362"/>
      <c r="T53" s="362">
        <v>2500</v>
      </c>
      <c r="U53" s="254"/>
      <c r="V53" s="345"/>
      <c r="W53" s="296">
        <v>0</v>
      </c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404">
        <f t="shared" si="5"/>
        <v>2500</v>
      </c>
      <c r="AR53" s="405">
        <v>0</v>
      </c>
      <c r="AS53" s="404">
        <v>0</v>
      </c>
      <c r="AT53" s="404">
        <f t="shared" si="8"/>
        <v>0</v>
      </c>
    </row>
    <row r="54" spans="1:46" s="261" customFormat="1" ht="15.75" hidden="1" customHeight="1" x14ac:dyDescent="0.25">
      <c r="A54" s="123">
        <v>48</v>
      </c>
      <c r="B54" s="356" t="s">
        <v>82</v>
      </c>
      <c r="C54" s="356" t="s">
        <v>65</v>
      </c>
      <c r="D54" s="356" t="s">
        <v>66</v>
      </c>
      <c r="E54" s="356" t="s">
        <v>201</v>
      </c>
      <c r="F54" s="356"/>
      <c r="G54" s="357">
        <f t="shared" si="0"/>
        <v>166.66666666666666</v>
      </c>
      <c r="H54" s="358">
        <f t="shared" si="1"/>
        <v>2500</v>
      </c>
      <c r="I54" s="357">
        <v>5000</v>
      </c>
      <c r="J54" s="359">
        <v>15</v>
      </c>
      <c r="K54" s="359"/>
      <c r="L54" s="359"/>
      <c r="M54" s="359"/>
      <c r="N54" s="360"/>
      <c r="O54" s="360"/>
      <c r="P54" s="360"/>
      <c r="Q54" s="360"/>
      <c r="R54" s="361">
        <f t="shared" si="2"/>
        <v>2500</v>
      </c>
      <c r="S54" s="362"/>
      <c r="T54" s="362">
        <f t="shared" si="3"/>
        <v>2500</v>
      </c>
      <c r="U54" s="254"/>
      <c r="V54" s="345">
        <f t="shared" si="4"/>
        <v>2500</v>
      </c>
      <c r="W54" s="296">
        <v>0</v>
      </c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404">
        <f t="shared" si="5"/>
        <v>2500</v>
      </c>
      <c r="AR54" s="405">
        <v>0</v>
      </c>
      <c r="AS54" s="404">
        <v>0</v>
      </c>
      <c r="AT54" s="404">
        <f t="shared" si="8"/>
        <v>0</v>
      </c>
    </row>
    <row r="55" spans="1:46" s="270" customFormat="1" ht="15.75" customHeight="1" x14ac:dyDescent="0.25">
      <c r="A55" s="123">
        <v>49</v>
      </c>
      <c r="B55" s="363" t="s">
        <v>88</v>
      </c>
      <c r="C55" s="363" t="s">
        <v>20</v>
      </c>
      <c r="D55" s="363" t="s">
        <v>185</v>
      </c>
      <c r="E55" s="363" t="s">
        <v>91</v>
      </c>
      <c r="F55" s="363"/>
      <c r="G55" s="364">
        <f t="shared" si="0"/>
        <v>333.33333333333331</v>
      </c>
      <c r="H55" s="358">
        <f t="shared" si="1"/>
        <v>5000</v>
      </c>
      <c r="I55" s="364">
        <v>10000</v>
      </c>
      <c r="J55" s="365">
        <v>15</v>
      </c>
      <c r="K55" s="365"/>
      <c r="L55" s="365"/>
      <c r="M55" s="365"/>
      <c r="N55" s="366"/>
      <c r="O55" s="366"/>
      <c r="P55" s="366"/>
      <c r="Q55" s="366"/>
      <c r="R55" s="367">
        <f t="shared" si="2"/>
        <v>5000</v>
      </c>
      <c r="S55" s="368"/>
      <c r="T55" s="368">
        <f t="shared" si="3"/>
        <v>5000</v>
      </c>
      <c r="U55" s="264"/>
      <c r="V55" s="348">
        <f t="shared" si="4"/>
        <v>5000</v>
      </c>
      <c r="W55" s="296">
        <v>1657.9</v>
      </c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404">
        <f t="shared" si="5"/>
        <v>3342.1</v>
      </c>
      <c r="AR55" s="405">
        <f t="shared" si="6"/>
        <v>60</v>
      </c>
      <c r="AS55" s="404">
        <f t="shared" si="7"/>
        <v>55.701666666666668</v>
      </c>
      <c r="AT55" s="404">
        <f t="shared" si="8"/>
        <v>3342.1</v>
      </c>
    </row>
    <row r="56" spans="1:46" s="270" customFormat="1" ht="15.75" customHeight="1" x14ac:dyDescent="0.25">
      <c r="A56" s="123">
        <v>50</v>
      </c>
      <c r="B56" s="363" t="s">
        <v>88</v>
      </c>
      <c r="C56" s="363" t="s">
        <v>20</v>
      </c>
      <c r="D56" s="363" t="s">
        <v>51</v>
      </c>
      <c r="E56" s="402" t="s">
        <v>114</v>
      </c>
      <c r="F56" s="363"/>
      <c r="G56" s="364">
        <f t="shared" si="0"/>
        <v>166.66666666666666</v>
      </c>
      <c r="H56" s="358">
        <f t="shared" si="1"/>
        <v>2500</v>
      </c>
      <c r="I56" s="403">
        <v>5000</v>
      </c>
      <c r="J56" s="365">
        <v>15</v>
      </c>
      <c r="K56" s="365"/>
      <c r="L56" s="365"/>
      <c r="M56" s="365"/>
      <c r="N56" s="366"/>
      <c r="O56" s="366"/>
      <c r="P56" s="366"/>
      <c r="Q56" s="366"/>
      <c r="R56" s="367">
        <f t="shared" si="2"/>
        <v>4000</v>
      </c>
      <c r="S56" s="368"/>
      <c r="T56" s="368">
        <v>4000</v>
      </c>
      <c r="U56" s="264"/>
      <c r="V56" s="348">
        <f t="shared" si="4"/>
        <v>2500</v>
      </c>
      <c r="W56" s="296">
        <v>1657.9</v>
      </c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404">
        <f t="shared" si="5"/>
        <v>2342.1</v>
      </c>
      <c r="AR56" s="405">
        <f t="shared" si="6"/>
        <v>60</v>
      </c>
      <c r="AS56" s="404">
        <f t="shared" si="7"/>
        <v>39.034999999999997</v>
      </c>
      <c r="AT56" s="404">
        <f t="shared" si="8"/>
        <v>2342.1</v>
      </c>
    </row>
    <row r="57" spans="1:46" s="270" customFormat="1" ht="15.75" customHeight="1" x14ac:dyDescent="0.25">
      <c r="A57" s="123">
        <v>51</v>
      </c>
      <c r="B57" s="363" t="s">
        <v>88</v>
      </c>
      <c r="C57" s="363" t="s">
        <v>65</v>
      </c>
      <c r="D57" s="363" t="s">
        <v>41</v>
      </c>
      <c r="E57" s="363" t="s">
        <v>127</v>
      </c>
      <c r="F57" s="363"/>
      <c r="G57" s="364">
        <f>H57/15</f>
        <v>166.66666666666666</v>
      </c>
      <c r="H57" s="358">
        <f>I57/2</f>
        <v>2500</v>
      </c>
      <c r="I57" s="364">
        <v>5000</v>
      </c>
      <c r="J57" s="365">
        <v>15</v>
      </c>
      <c r="K57" s="365"/>
      <c r="L57" s="365"/>
      <c r="M57" s="365"/>
      <c r="N57" s="366"/>
      <c r="O57" s="366"/>
      <c r="P57" s="366"/>
      <c r="Q57" s="366"/>
      <c r="R57" s="367">
        <f>T57-S57</f>
        <v>3000</v>
      </c>
      <c r="S57" s="368"/>
      <c r="T57" s="368">
        <v>3000</v>
      </c>
      <c r="U57" s="264"/>
      <c r="V57" s="348">
        <f>G57*J57</f>
        <v>2500</v>
      </c>
      <c r="W57" s="296">
        <v>1657.9</v>
      </c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404">
        <f t="shared" si="5"/>
        <v>1342.1</v>
      </c>
      <c r="AR57" s="405">
        <f t="shared" si="6"/>
        <v>60</v>
      </c>
      <c r="AS57" s="404">
        <f t="shared" si="7"/>
        <v>22.368333333333332</v>
      </c>
      <c r="AT57" s="404">
        <f t="shared" si="8"/>
        <v>1342.1</v>
      </c>
    </row>
    <row r="58" spans="1:46" s="270" customFormat="1" ht="15.75" customHeight="1" x14ac:dyDescent="0.25">
      <c r="A58" s="123">
        <v>52</v>
      </c>
      <c r="B58" s="363" t="s">
        <v>88</v>
      </c>
      <c r="C58" s="363" t="s">
        <v>187</v>
      </c>
      <c r="D58" s="363" t="s">
        <v>94</v>
      </c>
      <c r="E58" s="363" t="s">
        <v>95</v>
      </c>
      <c r="F58" s="363"/>
      <c r="G58" s="364">
        <f t="shared" si="0"/>
        <v>233.33333333333334</v>
      </c>
      <c r="H58" s="358">
        <f t="shared" si="1"/>
        <v>3500</v>
      </c>
      <c r="I58" s="364">
        <v>7000</v>
      </c>
      <c r="J58" s="365">
        <v>14</v>
      </c>
      <c r="K58" s="365">
        <v>1</v>
      </c>
      <c r="L58" s="365"/>
      <c r="M58" s="365"/>
      <c r="N58" s="366">
        <v>800</v>
      </c>
      <c r="O58" s="366"/>
      <c r="P58" s="366"/>
      <c r="Q58" s="366"/>
      <c r="R58" s="367">
        <f t="shared" si="2"/>
        <v>3500</v>
      </c>
      <c r="S58" s="373"/>
      <c r="T58" s="368">
        <v>3500</v>
      </c>
      <c r="U58" s="264"/>
      <c r="V58" s="348">
        <f t="shared" si="4"/>
        <v>3266.666666666667</v>
      </c>
      <c r="W58" s="296">
        <v>1657.9</v>
      </c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404">
        <f t="shared" si="5"/>
        <v>1842.1</v>
      </c>
      <c r="AR58" s="405">
        <f t="shared" si="6"/>
        <v>60</v>
      </c>
      <c r="AS58" s="404">
        <f t="shared" si="7"/>
        <v>30.701666666666664</v>
      </c>
      <c r="AT58" s="404">
        <f t="shared" si="8"/>
        <v>1842.1</v>
      </c>
    </row>
    <row r="59" spans="1:46" s="261" customFormat="1" ht="15.75" customHeight="1" x14ac:dyDescent="0.25">
      <c r="A59" s="123">
        <v>53</v>
      </c>
      <c r="B59" s="356" t="s">
        <v>97</v>
      </c>
      <c r="C59" s="356" t="s">
        <v>20</v>
      </c>
      <c r="D59" s="356" t="s">
        <v>185</v>
      </c>
      <c r="E59" s="402" t="s">
        <v>250</v>
      </c>
      <c r="F59" s="356"/>
      <c r="G59" s="357">
        <f t="shared" si="0"/>
        <v>266.66666666666669</v>
      </c>
      <c r="H59" s="358">
        <f t="shared" si="1"/>
        <v>4000</v>
      </c>
      <c r="I59" s="357">
        <v>8000</v>
      </c>
      <c r="J59" s="359">
        <v>15</v>
      </c>
      <c r="K59" s="359"/>
      <c r="L59" s="359"/>
      <c r="M59" s="359"/>
      <c r="N59" s="360"/>
      <c r="O59" s="360">
        <v>466.67</v>
      </c>
      <c r="P59" s="360">
        <v>100</v>
      </c>
      <c r="Q59" s="360"/>
      <c r="R59" s="361">
        <f t="shared" si="2"/>
        <v>4000</v>
      </c>
      <c r="S59" s="362"/>
      <c r="T59" s="362">
        <v>4000</v>
      </c>
      <c r="U59" s="254"/>
      <c r="V59" s="345">
        <f t="shared" si="4"/>
        <v>4000.0000000000005</v>
      </c>
      <c r="W59" s="296">
        <v>1657.9</v>
      </c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404">
        <f t="shared" si="5"/>
        <v>2342.1</v>
      </c>
      <c r="AR59" s="405">
        <f t="shared" si="6"/>
        <v>60</v>
      </c>
      <c r="AS59" s="404">
        <f t="shared" si="7"/>
        <v>39.034999999999997</v>
      </c>
      <c r="AT59" s="404">
        <f t="shared" si="8"/>
        <v>2342.1</v>
      </c>
    </row>
    <row r="60" spans="1:46" s="261" customFormat="1" ht="15.75" customHeight="1" x14ac:dyDescent="0.25">
      <c r="A60" s="123">
        <v>54</v>
      </c>
      <c r="B60" s="356" t="s">
        <v>97</v>
      </c>
      <c r="C60" s="356" t="s">
        <v>187</v>
      </c>
      <c r="D60" s="356" t="s">
        <v>41</v>
      </c>
      <c r="E60" s="356" t="s">
        <v>112</v>
      </c>
      <c r="F60" s="356"/>
      <c r="G60" s="357">
        <f t="shared" si="0"/>
        <v>200</v>
      </c>
      <c r="H60" s="358">
        <f t="shared" si="1"/>
        <v>3000</v>
      </c>
      <c r="I60" s="357">
        <v>6000</v>
      </c>
      <c r="J60" s="359">
        <v>15</v>
      </c>
      <c r="K60" s="359"/>
      <c r="L60" s="360">
        <v>250</v>
      </c>
      <c r="M60" s="360">
        <v>250</v>
      </c>
      <c r="N60" s="360"/>
      <c r="O60" s="360"/>
      <c r="P60" s="360"/>
      <c r="Q60" s="360"/>
      <c r="R60" s="361">
        <v>3000</v>
      </c>
      <c r="S60" s="362"/>
      <c r="T60" s="374">
        <f>(J60*G60+L60+M60)-(N60+O60+P60+Q60)</f>
        <v>3500</v>
      </c>
      <c r="U60" s="254"/>
      <c r="V60" s="345">
        <f t="shared" si="4"/>
        <v>3000</v>
      </c>
      <c r="W60" s="296">
        <v>1657.9</v>
      </c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404">
        <f t="shared" si="5"/>
        <v>1842.1</v>
      </c>
      <c r="AR60" s="405">
        <f t="shared" si="6"/>
        <v>60</v>
      </c>
      <c r="AS60" s="404">
        <f t="shared" si="7"/>
        <v>30.701666666666664</v>
      </c>
      <c r="AT60" s="404">
        <f t="shared" si="8"/>
        <v>1842.1</v>
      </c>
    </row>
    <row r="61" spans="1:46" s="261" customFormat="1" ht="15.75" customHeight="1" x14ac:dyDescent="0.25">
      <c r="A61" s="123">
        <v>55</v>
      </c>
      <c r="B61" s="356" t="s">
        <v>100</v>
      </c>
      <c r="C61" s="356" t="s">
        <v>20</v>
      </c>
      <c r="D61" s="356" t="s">
        <v>185</v>
      </c>
      <c r="E61" s="356" t="s">
        <v>197</v>
      </c>
      <c r="F61" s="356"/>
      <c r="G61" s="357">
        <f t="shared" si="0"/>
        <v>333.33333333333331</v>
      </c>
      <c r="H61" s="358">
        <f t="shared" si="1"/>
        <v>5000</v>
      </c>
      <c r="I61" s="357">
        <v>10000</v>
      </c>
      <c r="J61" s="359">
        <v>15</v>
      </c>
      <c r="K61" s="359"/>
      <c r="L61" s="359"/>
      <c r="M61" s="359"/>
      <c r="N61" s="360"/>
      <c r="O61" s="360"/>
      <c r="P61" s="360">
        <v>100</v>
      </c>
      <c r="Q61" s="360"/>
      <c r="R61" s="361">
        <v>5000</v>
      </c>
      <c r="S61" s="370"/>
      <c r="T61" s="362">
        <f t="shared" si="3"/>
        <v>4900</v>
      </c>
      <c r="U61" s="254"/>
      <c r="V61" s="345">
        <f t="shared" si="4"/>
        <v>5000</v>
      </c>
      <c r="W61" s="296">
        <v>1657.9</v>
      </c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404">
        <f t="shared" si="5"/>
        <v>3242.1</v>
      </c>
      <c r="AR61" s="405">
        <f t="shared" si="6"/>
        <v>60</v>
      </c>
      <c r="AS61" s="404">
        <f t="shared" si="7"/>
        <v>54.034999999999997</v>
      </c>
      <c r="AT61" s="404">
        <f t="shared" si="8"/>
        <v>3242.1</v>
      </c>
    </row>
    <row r="62" spans="1:46" s="261" customFormat="1" ht="15.75" customHeight="1" x14ac:dyDescent="0.25">
      <c r="A62" s="123">
        <v>56</v>
      </c>
      <c r="B62" s="369" t="s">
        <v>100</v>
      </c>
      <c r="C62" s="369" t="s">
        <v>79</v>
      </c>
      <c r="D62" s="369" t="s">
        <v>80</v>
      </c>
      <c r="E62" s="356" t="s">
        <v>96</v>
      </c>
      <c r="F62" s="356"/>
      <c r="G62" s="357">
        <f>H62/15</f>
        <v>233.33333333333334</v>
      </c>
      <c r="H62" s="358">
        <f>I62/2</f>
        <v>3500</v>
      </c>
      <c r="I62" s="357">
        <v>7000</v>
      </c>
      <c r="J62" s="359">
        <v>15</v>
      </c>
      <c r="K62" s="359"/>
      <c r="L62" s="359"/>
      <c r="M62" s="359"/>
      <c r="N62" s="360"/>
      <c r="O62" s="360"/>
      <c r="P62" s="360"/>
      <c r="Q62" s="360"/>
      <c r="R62" s="361">
        <f>T62-S62</f>
        <v>3500</v>
      </c>
      <c r="S62" s="362"/>
      <c r="T62" s="362">
        <f>(J62*G62)-(N62+O62+P62+Q62)</f>
        <v>3500</v>
      </c>
      <c r="U62" s="254"/>
      <c r="V62" s="345">
        <f>G62*J62</f>
        <v>3500</v>
      </c>
      <c r="W62" s="296">
        <v>1657.9</v>
      </c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404">
        <f t="shared" si="5"/>
        <v>1842.1</v>
      </c>
      <c r="AR62" s="405">
        <f t="shared" si="6"/>
        <v>60</v>
      </c>
      <c r="AS62" s="404">
        <f t="shared" si="7"/>
        <v>30.701666666666664</v>
      </c>
      <c r="AT62" s="404">
        <f t="shared" si="8"/>
        <v>1842.1</v>
      </c>
    </row>
    <row r="63" spans="1:46" s="261" customFormat="1" ht="16.5" customHeight="1" x14ac:dyDescent="0.25">
      <c r="A63" s="123">
        <v>57</v>
      </c>
      <c r="B63" s="356" t="s">
        <v>100</v>
      </c>
      <c r="C63" s="356" t="s">
        <v>40</v>
      </c>
      <c r="D63" s="356" t="s">
        <v>186</v>
      </c>
      <c r="E63" s="356" t="s">
        <v>125</v>
      </c>
      <c r="F63" s="356"/>
      <c r="G63" s="357">
        <f>H63/15</f>
        <v>200</v>
      </c>
      <c r="H63" s="358">
        <f>I63/2</f>
        <v>3000</v>
      </c>
      <c r="I63" s="357">
        <v>6000</v>
      </c>
      <c r="J63" s="359">
        <v>15</v>
      </c>
      <c r="K63" s="359"/>
      <c r="L63" s="359"/>
      <c r="M63" s="359"/>
      <c r="N63" s="360"/>
      <c r="O63" s="360">
        <v>100</v>
      </c>
      <c r="P63" s="360"/>
      <c r="Q63" s="360"/>
      <c r="R63" s="361">
        <f>T63-S63</f>
        <v>3000</v>
      </c>
      <c r="S63" s="362"/>
      <c r="T63" s="362">
        <v>3000</v>
      </c>
      <c r="U63" s="254"/>
      <c r="V63" s="345">
        <f>G63*J63</f>
        <v>3000</v>
      </c>
      <c r="W63" s="296">
        <v>1657.9</v>
      </c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404">
        <f t="shared" si="5"/>
        <v>1342.1</v>
      </c>
      <c r="AR63" s="405">
        <f t="shared" si="6"/>
        <v>60</v>
      </c>
      <c r="AS63" s="404">
        <f t="shared" si="7"/>
        <v>22.368333333333332</v>
      </c>
      <c r="AT63" s="404">
        <f t="shared" si="8"/>
        <v>1342.1</v>
      </c>
    </row>
    <row r="64" spans="1:46" s="261" customFormat="1" ht="15.75" customHeight="1" x14ac:dyDescent="0.25">
      <c r="A64" s="123">
        <v>58</v>
      </c>
      <c r="B64" s="356" t="s">
        <v>100</v>
      </c>
      <c r="C64" s="356" t="s">
        <v>187</v>
      </c>
      <c r="D64" s="356" t="s">
        <v>48</v>
      </c>
      <c r="E64" s="356" t="s">
        <v>102</v>
      </c>
      <c r="F64" s="356"/>
      <c r="G64" s="357">
        <f t="shared" si="0"/>
        <v>200</v>
      </c>
      <c r="H64" s="358">
        <f t="shared" si="1"/>
        <v>3000</v>
      </c>
      <c r="I64" s="357">
        <v>6000</v>
      </c>
      <c r="J64" s="359">
        <v>15</v>
      </c>
      <c r="K64" s="359"/>
      <c r="L64" s="359"/>
      <c r="M64" s="359"/>
      <c r="N64" s="360"/>
      <c r="O64" s="360"/>
      <c r="P64" s="360"/>
      <c r="Q64" s="360"/>
      <c r="R64" s="361">
        <f t="shared" si="2"/>
        <v>3000</v>
      </c>
      <c r="S64" s="362"/>
      <c r="T64" s="362">
        <f t="shared" si="3"/>
        <v>3000</v>
      </c>
      <c r="U64" s="254"/>
      <c r="V64" s="345">
        <f t="shared" si="4"/>
        <v>3000</v>
      </c>
      <c r="W64" s="296">
        <v>1657.9</v>
      </c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404">
        <f t="shared" si="5"/>
        <v>1342.1</v>
      </c>
      <c r="AR64" s="405">
        <f t="shared" si="6"/>
        <v>60</v>
      </c>
      <c r="AS64" s="404">
        <f t="shared" si="7"/>
        <v>22.368333333333332</v>
      </c>
      <c r="AT64" s="404">
        <f t="shared" si="8"/>
        <v>1342.1</v>
      </c>
    </row>
    <row r="65" spans="1:46" s="261" customFormat="1" ht="15.75" customHeight="1" x14ac:dyDescent="0.25">
      <c r="A65" s="123">
        <v>59</v>
      </c>
      <c r="B65" s="356" t="s">
        <v>100</v>
      </c>
      <c r="C65" s="356" t="s">
        <v>20</v>
      </c>
      <c r="D65" s="356" t="s">
        <v>51</v>
      </c>
      <c r="E65" s="356" t="s">
        <v>242</v>
      </c>
      <c r="F65" s="356" t="s">
        <v>274</v>
      </c>
      <c r="G65" s="357">
        <f>H65/15</f>
        <v>166.66666666666666</v>
      </c>
      <c r="H65" s="358">
        <f t="shared" si="1"/>
        <v>2500</v>
      </c>
      <c r="I65" s="357">
        <v>5000</v>
      </c>
      <c r="J65" s="359">
        <v>11</v>
      </c>
      <c r="K65" s="359"/>
      <c r="L65" s="359"/>
      <c r="M65" s="359"/>
      <c r="N65" s="360"/>
      <c r="O65" s="360"/>
      <c r="P65" s="360"/>
      <c r="Q65" s="360"/>
      <c r="R65" s="361">
        <f t="shared" si="2"/>
        <v>2500</v>
      </c>
      <c r="S65" s="362"/>
      <c r="T65" s="362">
        <v>2500</v>
      </c>
      <c r="U65" s="254"/>
      <c r="V65" s="345">
        <f t="shared" si="4"/>
        <v>1833.3333333333333</v>
      </c>
      <c r="W65" s="296">
        <v>1657.9</v>
      </c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404">
        <f t="shared" si="5"/>
        <v>842.09999999999991</v>
      </c>
      <c r="AR65" s="405">
        <f t="shared" si="6"/>
        <v>60</v>
      </c>
      <c r="AS65" s="404">
        <f t="shared" si="7"/>
        <v>14.034999999999998</v>
      </c>
      <c r="AT65" s="404">
        <f t="shared" si="8"/>
        <v>842.09999999999991</v>
      </c>
    </row>
    <row r="66" spans="1:46" s="261" customFormat="1" ht="15.75" customHeight="1" x14ac:dyDescent="0.25">
      <c r="A66" s="123">
        <v>60</v>
      </c>
      <c r="B66" s="356" t="s">
        <v>100</v>
      </c>
      <c r="C66" s="356" t="s">
        <v>20</v>
      </c>
      <c r="D66" s="356" t="s">
        <v>51</v>
      </c>
      <c r="E66" s="356" t="s">
        <v>243</v>
      </c>
      <c r="F66" s="356" t="s">
        <v>273</v>
      </c>
      <c r="G66" s="357">
        <f>H66/15</f>
        <v>166.66666666666666</v>
      </c>
      <c r="H66" s="358">
        <f t="shared" si="1"/>
        <v>2500</v>
      </c>
      <c r="I66" s="357">
        <v>5000</v>
      </c>
      <c r="J66" s="359">
        <v>7</v>
      </c>
      <c r="K66" s="359"/>
      <c r="L66" s="359"/>
      <c r="M66" s="359"/>
      <c r="N66" s="360"/>
      <c r="O66" s="360"/>
      <c r="P66" s="360"/>
      <c r="Q66" s="360"/>
      <c r="R66" s="361">
        <f t="shared" si="2"/>
        <v>2500</v>
      </c>
      <c r="S66" s="362"/>
      <c r="T66" s="362">
        <v>2500</v>
      </c>
      <c r="U66" s="254"/>
      <c r="V66" s="345">
        <f t="shared" si="4"/>
        <v>1166.6666666666665</v>
      </c>
      <c r="W66" s="296">
        <v>1657.9</v>
      </c>
      <c r="X66" s="160"/>
      <c r="Y66" s="160"/>
      <c r="Z66" s="160"/>
      <c r="AA66" s="160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404">
        <f t="shared" si="5"/>
        <v>842.09999999999991</v>
      </c>
      <c r="AR66" s="405">
        <f t="shared" si="6"/>
        <v>60</v>
      </c>
      <c r="AS66" s="404">
        <f t="shared" si="7"/>
        <v>14.034999999999998</v>
      </c>
      <c r="AT66" s="404">
        <f t="shared" si="8"/>
        <v>842.09999999999991</v>
      </c>
    </row>
    <row r="67" spans="1:46" s="261" customFormat="1" ht="15.75" customHeight="1" x14ac:dyDescent="0.25">
      <c r="A67" s="123">
        <v>61</v>
      </c>
      <c r="B67" s="356" t="s">
        <v>100</v>
      </c>
      <c r="C67" s="356" t="s">
        <v>187</v>
      </c>
      <c r="D67" s="356" t="s">
        <v>48</v>
      </c>
      <c r="E67" s="356" t="s">
        <v>106</v>
      </c>
      <c r="F67" s="356"/>
      <c r="G67" s="357">
        <f t="shared" si="0"/>
        <v>266.66666666666669</v>
      </c>
      <c r="H67" s="358">
        <f t="shared" si="1"/>
        <v>4000</v>
      </c>
      <c r="I67" s="357">
        <v>8000</v>
      </c>
      <c r="J67" s="359">
        <v>15</v>
      </c>
      <c r="K67" s="359"/>
      <c r="L67" s="359"/>
      <c r="M67" s="359"/>
      <c r="N67" s="360">
        <v>265</v>
      </c>
      <c r="O67" s="360"/>
      <c r="P67" s="360"/>
      <c r="Q67" s="360"/>
      <c r="R67" s="361">
        <f t="shared" si="2"/>
        <v>4000</v>
      </c>
      <c r="S67" s="362"/>
      <c r="T67" s="362">
        <v>4000</v>
      </c>
      <c r="U67" s="254"/>
      <c r="V67" s="345">
        <f t="shared" si="4"/>
        <v>4000.0000000000005</v>
      </c>
      <c r="W67" s="296">
        <v>1657.9</v>
      </c>
      <c r="X67" s="160"/>
      <c r="Y67" s="160"/>
      <c r="Z67" s="160"/>
      <c r="AA67" s="160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404">
        <f t="shared" si="5"/>
        <v>2342.1</v>
      </c>
      <c r="AR67" s="405">
        <f t="shared" si="6"/>
        <v>60</v>
      </c>
      <c r="AS67" s="404">
        <f t="shared" si="7"/>
        <v>39.034999999999997</v>
      </c>
      <c r="AT67" s="404">
        <f t="shared" si="8"/>
        <v>2342.1</v>
      </c>
    </row>
    <row r="68" spans="1:46" s="270" customFormat="1" ht="15.75" customHeight="1" x14ac:dyDescent="0.25">
      <c r="A68" s="123">
        <v>62</v>
      </c>
      <c r="B68" s="363" t="s">
        <v>107</v>
      </c>
      <c r="C68" s="363" t="s">
        <v>187</v>
      </c>
      <c r="D68" s="363" t="s">
        <v>108</v>
      </c>
      <c r="E68" s="363" t="s">
        <v>109</v>
      </c>
      <c r="F68" s="363"/>
      <c r="G68" s="364">
        <f t="shared" si="0"/>
        <v>400</v>
      </c>
      <c r="H68" s="358">
        <f t="shared" si="1"/>
        <v>6000</v>
      </c>
      <c r="I68" s="364">
        <v>12000</v>
      </c>
      <c r="J68" s="365">
        <v>15</v>
      </c>
      <c r="K68" s="365"/>
      <c r="L68" s="365"/>
      <c r="M68" s="365"/>
      <c r="N68" s="366"/>
      <c r="O68" s="366"/>
      <c r="P68" s="366"/>
      <c r="Q68" s="366"/>
      <c r="R68" s="367">
        <f t="shared" si="2"/>
        <v>6000</v>
      </c>
      <c r="S68" s="368"/>
      <c r="T68" s="368">
        <f t="shared" si="3"/>
        <v>6000</v>
      </c>
      <c r="U68" s="264"/>
      <c r="V68" s="348">
        <f t="shared" si="4"/>
        <v>6000</v>
      </c>
      <c r="W68" s="296">
        <v>1657.9</v>
      </c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404">
        <f t="shared" si="5"/>
        <v>4342.1000000000004</v>
      </c>
      <c r="AR68" s="405">
        <f t="shared" si="6"/>
        <v>60</v>
      </c>
      <c r="AS68" s="404">
        <f t="shared" si="7"/>
        <v>72.368333333333339</v>
      </c>
      <c r="AT68" s="404">
        <f t="shared" si="8"/>
        <v>4342.1000000000004</v>
      </c>
    </row>
    <row r="69" spans="1:46" s="270" customFormat="1" ht="15.75" customHeight="1" x14ac:dyDescent="0.25">
      <c r="A69" s="123">
        <v>63</v>
      </c>
      <c r="B69" s="363" t="s">
        <v>107</v>
      </c>
      <c r="C69" s="363" t="s">
        <v>79</v>
      </c>
      <c r="D69" s="363" t="s">
        <v>199</v>
      </c>
      <c r="E69" s="363" t="s">
        <v>126</v>
      </c>
      <c r="F69" s="363"/>
      <c r="G69" s="364">
        <f t="shared" si="0"/>
        <v>200</v>
      </c>
      <c r="H69" s="358">
        <f t="shared" si="1"/>
        <v>3000</v>
      </c>
      <c r="I69" s="364">
        <v>6000</v>
      </c>
      <c r="J69" s="365">
        <v>15</v>
      </c>
      <c r="K69" s="365"/>
      <c r="L69" s="365"/>
      <c r="M69" s="365"/>
      <c r="N69" s="366"/>
      <c r="O69" s="366"/>
      <c r="P69" s="366"/>
      <c r="Q69" s="366"/>
      <c r="R69" s="367">
        <f t="shared" si="2"/>
        <v>3500</v>
      </c>
      <c r="S69" s="368"/>
      <c r="T69" s="368">
        <v>3500</v>
      </c>
      <c r="U69" s="264"/>
      <c r="V69" s="348">
        <f t="shared" si="4"/>
        <v>3000</v>
      </c>
      <c r="W69" s="296">
        <v>1657.9</v>
      </c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404">
        <f t="shared" si="5"/>
        <v>1842.1</v>
      </c>
      <c r="AR69" s="405">
        <f t="shared" si="6"/>
        <v>60</v>
      </c>
      <c r="AS69" s="404">
        <f t="shared" si="7"/>
        <v>30.701666666666664</v>
      </c>
      <c r="AT69" s="404">
        <f t="shared" si="8"/>
        <v>1842.1</v>
      </c>
    </row>
    <row r="70" spans="1:46" s="270" customFormat="1" ht="15.75" customHeight="1" x14ac:dyDescent="0.25">
      <c r="A70" s="123">
        <v>64</v>
      </c>
      <c r="B70" s="363" t="s">
        <v>107</v>
      </c>
      <c r="C70" s="363" t="s">
        <v>65</v>
      </c>
      <c r="D70" s="363" t="s">
        <v>66</v>
      </c>
      <c r="E70" s="363" t="s">
        <v>131</v>
      </c>
      <c r="F70" s="363"/>
      <c r="G70" s="364">
        <f t="shared" si="0"/>
        <v>200</v>
      </c>
      <c r="H70" s="358">
        <f t="shared" si="1"/>
        <v>3000</v>
      </c>
      <c r="I70" s="364">
        <v>6000</v>
      </c>
      <c r="J70" s="365">
        <v>15</v>
      </c>
      <c r="K70" s="365"/>
      <c r="L70" s="365"/>
      <c r="M70" s="365"/>
      <c r="N70" s="366"/>
      <c r="O70" s="366"/>
      <c r="P70" s="366"/>
      <c r="Q70" s="366"/>
      <c r="R70" s="367">
        <f t="shared" si="2"/>
        <v>3000</v>
      </c>
      <c r="S70" s="368"/>
      <c r="T70" s="368">
        <f t="shared" si="3"/>
        <v>3000</v>
      </c>
      <c r="U70" s="264"/>
      <c r="V70" s="348">
        <f t="shared" si="4"/>
        <v>3000</v>
      </c>
      <c r="W70" s="296">
        <v>1657.9</v>
      </c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404">
        <f t="shared" si="5"/>
        <v>1342.1</v>
      </c>
      <c r="AR70" s="405">
        <f t="shared" si="6"/>
        <v>60</v>
      </c>
      <c r="AS70" s="404">
        <f t="shared" si="7"/>
        <v>22.368333333333332</v>
      </c>
      <c r="AT70" s="404">
        <f t="shared" si="8"/>
        <v>1342.1</v>
      </c>
    </row>
    <row r="71" spans="1:46" s="270" customFormat="1" ht="15.75" customHeight="1" x14ac:dyDescent="0.25">
      <c r="A71" s="123">
        <v>65</v>
      </c>
      <c r="B71" s="363" t="s">
        <v>107</v>
      </c>
      <c r="C71" s="363" t="s">
        <v>65</v>
      </c>
      <c r="D71" s="363" t="s">
        <v>66</v>
      </c>
      <c r="E71" s="363" t="s">
        <v>118</v>
      </c>
      <c r="F71" s="363"/>
      <c r="G71" s="364">
        <f t="shared" si="0"/>
        <v>200</v>
      </c>
      <c r="H71" s="358">
        <f t="shared" ref="H71:H130" si="13">I71/2</f>
        <v>3000</v>
      </c>
      <c r="I71" s="364">
        <v>6000</v>
      </c>
      <c r="J71" s="365">
        <v>15</v>
      </c>
      <c r="K71" s="365"/>
      <c r="L71" s="365"/>
      <c r="M71" s="365"/>
      <c r="N71" s="366"/>
      <c r="O71" s="366"/>
      <c r="P71" s="366"/>
      <c r="Q71" s="366"/>
      <c r="R71" s="367">
        <f t="shared" si="2"/>
        <v>3000</v>
      </c>
      <c r="S71" s="368"/>
      <c r="T71" s="368">
        <f t="shared" si="3"/>
        <v>3000</v>
      </c>
      <c r="U71" s="264"/>
      <c r="V71" s="348">
        <f t="shared" si="4"/>
        <v>3000</v>
      </c>
      <c r="W71" s="296">
        <v>1657.9</v>
      </c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404">
        <f t="shared" si="5"/>
        <v>1342.1</v>
      </c>
      <c r="AR71" s="405">
        <f t="shared" si="6"/>
        <v>60</v>
      </c>
      <c r="AS71" s="404">
        <f t="shared" si="7"/>
        <v>22.368333333333332</v>
      </c>
      <c r="AT71" s="404">
        <f t="shared" si="8"/>
        <v>1342.1</v>
      </c>
    </row>
    <row r="72" spans="1:46" s="270" customFormat="1" ht="15.75" customHeight="1" x14ac:dyDescent="0.25">
      <c r="A72" s="123">
        <v>66</v>
      </c>
      <c r="B72" s="363" t="s">
        <v>107</v>
      </c>
      <c r="C72" s="363" t="s">
        <v>65</v>
      </c>
      <c r="D72" s="363" t="s">
        <v>66</v>
      </c>
      <c r="E72" s="363" t="s">
        <v>247</v>
      </c>
      <c r="F72" s="363" t="s">
        <v>270</v>
      </c>
      <c r="G72" s="364">
        <v>166.67</v>
      </c>
      <c r="H72" s="358">
        <v>2500</v>
      </c>
      <c r="I72" s="364">
        <v>5000</v>
      </c>
      <c r="J72" s="365">
        <v>10</v>
      </c>
      <c r="K72" s="365"/>
      <c r="L72" s="365"/>
      <c r="M72" s="365"/>
      <c r="N72" s="366"/>
      <c r="O72" s="366"/>
      <c r="P72" s="366"/>
      <c r="Q72" s="366"/>
      <c r="R72" s="367">
        <f t="shared" si="2"/>
        <v>2500</v>
      </c>
      <c r="S72" s="368"/>
      <c r="T72" s="368">
        <v>2500</v>
      </c>
      <c r="U72" s="264"/>
      <c r="V72" s="348"/>
      <c r="W72" s="296">
        <v>1657.9</v>
      </c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404">
        <f t="shared" ref="AQ72:AQ84" si="14">+T72-W72</f>
        <v>842.09999999999991</v>
      </c>
      <c r="AR72" s="405">
        <f t="shared" ref="AR72:AR84" si="15">AQ72/AS72</f>
        <v>60</v>
      </c>
      <c r="AS72" s="404">
        <f t="shared" ref="AS72:AS84" si="16">((AQ72/15)/8)*2</f>
        <v>14.034999999999998</v>
      </c>
      <c r="AT72" s="404">
        <f t="shared" ref="AT72:AT84" si="17">AR72*AS72</f>
        <v>842.09999999999991</v>
      </c>
    </row>
    <row r="73" spans="1:46" s="261" customFormat="1" ht="15.75" customHeight="1" x14ac:dyDescent="0.25">
      <c r="A73" s="123">
        <v>67</v>
      </c>
      <c r="B73" s="356" t="s">
        <v>149</v>
      </c>
      <c r="C73" s="356" t="s">
        <v>20</v>
      </c>
      <c r="D73" s="356" t="s">
        <v>185</v>
      </c>
      <c r="E73" s="356" t="s">
        <v>154</v>
      </c>
      <c r="F73" s="356"/>
      <c r="G73" s="357">
        <f t="shared" si="0"/>
        <v>333.33333333333331</v>
      </c>
      <c r="H73" s="358">
        <f t="shared" si="13"/>
        <v>5000</v>
      </c>
      <c r="I73" s="357">
        <v>10000</v>
      </c>
      <c r="J73" s="359">
        <v>15</v>
      </c>
      <c r="K73" s="359"/>
      <c r="L73" s="359"/>
      <c r="M73" s="359"/>
      <c r="N73" s="360"/>
      <c r="O73" s="375"/>
      <c r="P73" s="360">
        <v>100</v>
      </c>
      <c r="Q73" s="360"/>
      <c r="R73" s="361">
        <f t="shared" si="2"/>
        <v>5000</v>
      </c>
      <c r="S73" s="362"/>
      <c r="T73" s="362">
        <v>5000</v>
      </c>
      <c r="U73" s="254"/>
      <c r="V73" s="296">
        <f t="shared" si="4"/>
        <v>5000</v>
      </c>
      <c r="W73" s="296">
        <v>1657.9</v>
      </c>
      <c r="X73" s="160"/>
      <c r="Y73" s="160"/>
      <c r="Z73" s="160"/>
      <c r="AA73" s="160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404">
        <f t="shared" si="14"/>
        <v>3342.1</v>
      </c>
      <c r="AR73" s="405">
        <f t="shared" si="15"/>
        <v>60</v>
      </c>
      <c r="AS73" s="404">
        <f t="shared" si="16"/>
        <v>55.701666666666668</v>
      </c>
      <c r="AT73" s="404">
        <f t="shared" si="17"/>
        <v>3342.1</v>
      </c>
    </row>
    <row r="74" spans="1:46" s="261" customFormat="1" ht="15.75" customHeight="1" x14ac:dyDescent="0.25">
      <c r="A74" s="123">
        <v>68</v>
      </c>
      <c r="B74" s="356" t="s">
        <v>149</v>
      </c>
      <c r="C74" s="356" t="s">
        <v>187</v>
      </c>
      <c r="D74" s="356" t="s">
        <v>150</v>
      </c>
      <c r="E74" s="356" t="s">
        <v>155</v>
      </c>
      <c r="F74" s="356"/>
      <c r="G74" s="357">
        <f t="shared" si="0"/>
        <v>166.66666666666666</v>
      </c>
      <c r="H74" s="358">
        <f t="shared" si="13"/>
        <v>2500</v>
      </c>
      <c r="I74" s="357">
        <v>5000</v>
      </c>
      <c r="J74" s="359">
        <v>15</v>
      </c>
      <c r="K74" s="359"/>
      <c r="L74" s="359"/>
      <c r="M74" s="359"/>
      <c r="N74" s="360"/>
      <c r="O74" s="360"/>
      <c r="P74" s="360"/>
      <c r="Q74" s="360"/>
      <c r="R74" s="361">
        <f t="shared" si="2"/>
        <v>2500</v>
      </c>
      <c r="S74" s="362"/>
      <c r="T74" s="362">
        <f t="shared" si="3"/>
        <v>2500</v>
      </c>
      <c r="U74" s="254"/>
      <c r="V74" s="296">
        <f t="shared" si="4"/>
        <v>2500</v>
      </c>
      <c r="W74" s="296">
        <v>1657.9</v>
      </c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404">
        <f t="shared" si="14"/>
        <v>842.09999999999991</v>
      </c>
      <c r="AR74" s="405">
        <f t="shared" si="15"/>
        <v>60</v>
      </c>
      <c r="AS74" s="404">
        <f t="shared" si="16"/>
        <v>14.034999999999998</v>
      </c>
      <c r="AT74" s="404">
        <f t="shared" si="17"/>
        <v>842.09999999999991</v>
      </c>
    </row>
    <row r="75" spans="1:46" s="261" customFormat="1" ht="15.75" customHeight="1" x14ac:dyDescent="0.25">
      <c r="A75" s="123">
        <v>69</v>
      </c>
      <c r="B75" s="356" t="s">
        <v>149</v>
      </c>
      <c r="C75" s="356" t="s">
        <v>40</v>
      </c>
      <c r="D75" s="356" t="s">
        <v>186</v>
      </c>
      <c r="E75" s="356" t="s">
        <v>196</v>
      </c>
      <c r="F75" s="356"/>
      <c r="G75" s="357">
        <f t="shared" si="0"/>
        <v>200</v>
      </c>
      <c r="H75" s="358">
        <f t="shared" si="13"/>
        <v>3000</v>
      </c>
      <c r="I75" s="357">
        <v>6000</v>
      </c>
      <c r="J75" s="359">
        <v>15</v>
      </c>
      <c r="K75" s="359"/>
      <c r="L75" s="359"/>
      <c r="M75" s="359"/>
      <c r="N75" s="360"/>
      <c r="O75" s="360"/>
      <c r="P75" s="360"/>
      <c r="Q75" s="360"/>
      <c r="R75" s="361">
        <f t="shared" si="2"/>
        <v>3000</v>
      </c>
      <c r="S75" s="362"/>
      <c r="T75" s="362">
        <f t="shared" si="3"/>
        <v>3000</v>
      </c>
      <c r="U75" s="254"/>
      <c r="V75" s="296">
        <f t="shared" si="4"/>
        <v>3000</v>
      </c>
      <c r="W75" s="296">
        <v>1657.9</v>
      </c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404">
        <f t="shared" si="14"/>
        <v>1342.1</v>
      </c>
      <c r="AR75" s="405">
        <f t="shared" si="15"/>
        <v>60</v>
      </c>
      <c r="AS75" s="404">
        <f t="shared" si="16"/>
        <v>22.368333333333332</v>
      </c>
      <c r="AT75" s="404">
        <f t="shared" si="17"/>
        <v>1342.1</v>
      </c>
    </row>
    <row r="76" spans="1:46" s="261" customFormat="1" ht="15.75" customHeight="1" x14ac:dyDescent="0.25">
      <c r="A76" s="123">
        <v>70</v>
      </c>
      <c r="B76" s="356" t="s">
        <v>149</v>
      </c>
      <c r="C76" s="356" t="s">
        <v>40</v>
      </c>
      <c r="D76" s="356" t="s">
        <v>41</v>
      </c>
      <c r="E76" s="356" t="s">
        <v>157</v>
      </c>
      <c r="F76" s="356"/>
      <c r="G76" s="357">
        <f t="shared" si="0"/>
        <v>166.66666666666666</v>
      </c>
      <c r="H76" s="358">
        <f t="shared" si="13"/>
        <v>2500</v>
      </c>
      <c r="I76" s="357">
        <v>5000</v>
      </c>
      <c r="J76" s="359">
        <v>15</v>
      </c>
      <c r="K76" s="359"/>
      <c r="L76" s="359"/>
      <c r="M76" s="359"/>
      <c r="N76" s="360"/>
      <c r="O76" s="360"/>
      <c r="P76" s="360"/>
      <c r="Q76" s="360"/>
      <c r="R76" s="361">
        <f t="shared" si="2"/>
        <v>2500</v>
      </c>
      <c r="S76" s="362"/>
      <c r="T76" s="362">
        <f t="shared" si="3"/>
        <v>2500</v>
      </c>
      <c r="U76" s="254"/>
      <c r="V76" s="296">
        <f t="shared" si="4"/>
        <v>2500</v>
      </c>
      <c r="W76" s="296">
        <v>1657.9</v>
      </c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404">
        <f t="shared" si="14"/>
        <v>842.09999999999991</v>
      </c>
      <c r="AR76" s="405">
        <f t="shared" si="15"/>
        <v>60</v>
      </c>
      <c r="AS76" s="404">
        <f t="shared" si="16"/>
        <v>14.034999999999998</v>
      </c>
      <c r="AT76" s="404">
        <f t="shared" si="17"/>
        <v>842.09999999999991</v>
      </c>
    </row>
    <row r="77" spans="1:46" s="261" customFormat="1" ht="15.75" customHeight="1" x14ac:dyDescent="0.25">
      <c r="A77" s="123">
        <v>71</v>
      </c>
      <c r="B77" s="356" t="s">
        <v>149</v>
      </c>
      <c r="C77" s="356" t="s">
        <v>187</v>
      </c>
      <c r="D77" s="356" t="s">
        <v>48</v>
      </c>
      <c r="E77" s="356" t="s">
        <v>158</v>
      </c>
      <c r="F77" s="356"/>
      <c r="G77" s="357">
        <f t="shared" si="0"/>
        <v>183.33333333333334</v>
      </c>
      <c r="H77" s="358">
        <f t="shared" si="13"/>
        <v>2750</v>
      </c>
      <c r="I77" s="357">
        <v>5500</v>
      </c>
      <c r="J77" s="359">
        <v>14</v>
      </c>
      <c r="K77" s="359">
        <v>1</v>
      </c>
      <c r="L77" s="359"/>
      <c r="M77" s="359"/>
      <c r="N77" s="360"/>
      <c r="O77" s="360"/>
      <c r="P77" s="360"/>
      <c r="Q77" s="360"/>
      <c r="R77" s="361">
        <f t="shared" si="2"/>
        <v>2750</v>
      </c>
      <c r="S77" s="362"/>
      <c r="T77" s="362">
        <v>2750</v>
      </c>
      <c r="U77" s="254"/>
      <c r="V77" s="296">
        <f t="shared" si="4"/>
        <v>2566.666666666667</v>
      </c>
      <c r="W77" s="296">
        <v>1657.9</v>
      </c>
      <c r="X77" s="160"/>
      <c r="Y77" s="160"/>
      <c r="Z77" s="160"/>
      <c r="AA77" s="160"/>
      <c r="AB77" s="160"/>
      <c r="AC77" s="160"/>
      <c r="AD77" s="160"/>
      <c r="AE77" s="160"/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404">
        <f t="shared" si="14"/>
        <v>1092.0999999999999</v>
      </c>
      <c r="AR77" s="405">
        <f t="shared" si="15"/>
        <v>60</v>
      </c>
      <c r="AS77" s="404">
        <f t="shared" si="16"/>
        <v>18.201666666666664</v>
      </c>
      <c r="AT77" s="404">
        <f t="shared" si="17"/>
        <v>1092.0999999999999</v>
      </c>
    </row>
    <row r="78" spans="1:46" s="261" customFormat="1" ht="15.75" customHeight="1" x14ac:dyDescent="0.25">
      <c r="A78" s="123">
        <v>72</v>
      </c>
      <c r="B78" s="356" t="s">
        <v>149</v>
      </c>
      <c r="C78" s="356" t="s">
        <v>20</v>
      </c>
      <c r="D78" s="356" t="s">
        <v>51</v>
      </c>
      <c r="E78" s="356" t="s">
        <v>194</v>
      </c>
      <c r="F78" s="356"/>
      <c r="G78" s="357">
        <f t="shared" ref="G78:G84" si="18">H78/15</f>
        <v>183.33333333333334</v>
      </c>
      <c r="H78" s="358">
        <f t="shared" si="13"/>
        <v>2750</v>
      </c>
      <c r="I78" s="357">
        <v>5500</v>
      </c>
      <c r="J78" s="359">
        <v>15</v>
      </c>
      <c r="K78" s="359"/>
      <c r="L78" s="359"/>
      <c r="M78" s="359"/>
      <c r="N78" s="360"/>
      <c r="O78" s="360"/>
      <c r="P78" s="360"/>
      <c r="Q78" s="360"/>
      <c r="R78" s="361">
        <f t="shared" ref="R78:R84" si="19">T78-S78</f>
        <v>2750</v>
      </c>
      <c r="S78" s="362"/>
      <c r="T78" s="362">
        <f t="shared" ref="T78:T84" si="20">(J78*G78)-(N78+O78+P78+Q78)</f>
        <v>2750</v>
      </c>
      <c r="U78" s="254"/>
      <c r="V78" s="296">
        <f t="shared" si="4"/>
        <v>2750</v>
      </c>
      <c r="W78" s="296">
        <v>1657.9</v>
      </c>
      <c r="X78" s="160"/>
      <c r="Y78" s="160"/>
      <c r="Z78" s="160"/>
      <c r="AA78" s="160"/>
      <c r="AB78" s="160"/>
      <c r="AC78" s="160"/>
      <c r="AD78" s="160"/>
      <c r="AE78" s="160"/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404">
        <f t="shared" si="14"/>
        <v>1092.0999999999999</v>
      </c>
      <c r="AR78" s="405">
        <f t="shared" si="15"/>
        <v>60</v>
      </c>
      <c r="AS78" s="404">
        <f t="shared" si="16"/>
        <v>18.201666666666664</v>
      </c>
      <c r="AT78" s="404">
        <f t="shared" si="17"/>
        <v>1092.0999999999999</v>
      </c>
    </row>
    <row r="79" spans="1:46" s="270" customFormat="1" ht="15.75" customHeight="1" x14ac:dyDescent="0.25">
      <c r="A79" s="123">
        <v>73</v>
      </c>
      <c r="B79" s="363" t="s">
        <v>160</v>
      </c>
      <c r="C79" s="363" t="s">
        <v>20</v>
      </c>
      <c r="D79" s="363" t="s">
        <v>185</v>
      </c>
      <c r="E79" s="363" t="s">
        <v>163</v>
      </c>
      <c r="F79" s="363"/>
      <c r="G79" s="364">
        <f t="shared" si="18"/>
        <v>333.33333333333331</v>
      </c>
      <c r="H79" s="358">
        <f t="shared" si="13"/>
        <v>5000</v>
      </c>
      <c r="I79" s="364">
        <v>10000</v>
      </c>
      <c r="J79" s="365">
        <v>15</v>
      </c>
      <c r="K79" s="365"/>
      <c r="L79" s="365"/>
      <c r="M79" s="365"/>
      <c r="N79" s="366"/>
      <c r="O79" s="366"/>
      <c r="P79" s="366"/>
      <c r="Q79" s="366"/>
      <c r="R79" s="367">
        <f t="shared" si="19"/>
        <v>5000</v>
      </c>
      <c r="S79" s="368"/>
      <c r="T79" s="368">
        <f t="shared" si="20"/>
        <v>5000</v>
      </c>
      <c r="U79" s="264"/>
      <c r="V79" s="348">
        <f t="shared" si="4"/>
        <v>5000</v>
      </c>
      <c r="W79" s="296">
        <v>1657.9</v>
      </c>
      <c r="X79" s="160"/>
      <c r="Y79" s="160"/>
      <c r="Z79" s="160"/>
      <c r="AA79" s="160"/>
      <c r="AB79" s="160"/>
      <c r="AC79" s="160"/>
      <c r="AD79" s="160"/>
      <c r="AE79" s="160"/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404">
        <f t="shared" si="14"/>
        <v>3342.1</v>
      </c>
      <c r="AR79" s="405">
        <f t="shared" si="15"/>
        <v>60</v>
      </c>
      <c r="AS79" s="404">
        <f t="shared" si="16"/>
        <v>55.701666666666668</v>
      </c>
      <c r="AT79" s="404">
        <f t="shared" si="17"/>
        <v>3342.1</v>
      </c>
    </row>
    <row r="80" spans="1:46" s="270" customFormat="1" ht="15.75" customHeight="1" x14ac:dyDescent="0.25">
      <c r="A80" s="123">
        <v>74</v>
      </c>
      <c r="B80" s="363" t="s">
        <v>160</v>
      </c>
      <c r="C80" s="363" t="s">
        <v>40</v>
      </c>
      <c r="D80" s="363" t="s">
        <v>48</v>
      </c>
      <c r="E80" s="363" t="s">
        <v>164</v>
      </c>
      <c r="F80" s="363"/>
      <c r="G80" s="364">
        <f t="shared" si="18"/>
        <v>200</v>
      </c>
      <c r="H80" s="358">
        <f t="shared" si="13"/>
        <v>3000</v>
      </c>
      <c r="I80" s="364">
        <v>6000</v>
      </c>
      <c r="J80" s="365">
        <v>15</v>
      </c>
      <c r="K80" s="365"/>
      <c r="L80" s="365"/>
      <c r="M80" s="365"/>
      <c r="N80" s="366"/>
      <c r="O80" s="366"/>
      <c r="P80" s="366"/>
      <c r="Q80" s="366"/>
      <c r="R80" s="367">
        <f t="shared" si="19"/>
        <v>3000</v>
      </c>
      <c r="S80" s="368"/>
      <c r="T80" s="368">
        <f t="shared" si="20"/>
        <v>3000</v>
      </c>
      <c r="U80" s="264"/>
      <c r="V80" s="348">
        <f t="shared" ref="V80:V84" si="21">G80*J80</f>
        <v>3000</v>
      </c>
      <c r="W80" s="296">
        <v>1657.9</v>
      </c>
      <c r="X80" s="160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404">
        <f t="shared" si="14"/>
        <v>1342.1</v>
      </c>
      <c r="AR80" s="405">
        <f t="shared" si="15"/>
        <v>60</v>
      </c>
      <c r="AS80" s="404">
        <f t="shared" si="16"/>
        <v>22.368333333333332</v>
      </c>
      <c r="AT80" s="404">
        <f t="shared" si="17"/>
        <v>1342.1</v>
      </c>
    </row>
    <row r="81" spans="1:46" s="270" customFormat="1" ht="15.75" customHeight="1" x14ac:dyDescent="0.25">
      <c r="A81" s="123">
        <v>75</v>
      </c>
      <c r="B81" s="363" t="s">
        <v>160</v>
      </c>
      <c r="C81" s="363" t="s">
        <v>40</v>
      </c>
      <c r="D81" s="363" t="s">
        <v>186</v>
      </c>
      <c r="E81" s="363" t="s">
        <v>165</v>
      </c>
      <c r="F81" s="363"/>
      <c r="G81" s="364">
        <f t="shared" si="18"/>
        <v>166.66666666666666</v>
      </c>
      <c r="H81" s="358">
        <f t="shared" si="13"/>
        <v>2500</v>
      </c>
      <c r="I81" s="364">
        <v>5000</v>
      </c>
      <c r="J81" s="365">
        <v>15</v>
      </c>
      <c r="K81" s="365"/>
      <c r="L81" s="365"/>
      <c r="M81" s="365"/>
      <c r="N81" s="366"/>
      <c r="O81" s="366"/>
      <c r="P81" s="366"/>
      <c r="Q81" s="366"/>
      <c r="R81" s="367">
        <f t="shared" si="19"/>
        <v>2500</v>
      </c>
      <c r="S81" s="368"/>
      <c r="T81" s="368">
        <f t="shared" si="20"/>
        <v>2500</v>
      </c>
      <c r="U81" s="264"/>
      <c r="V81" s="348">
        <f t="shared" si="21"/>
        <v>2500</v>
      </c>
      <c r="W81" s="296">
        <v>1657.9</v>
      </c>
      <c r="X81" s="160"/>
      <c r="Y81" s="160"/>
      <c r="Z81" s="160"/>
      <c r="AA81" s="160"/>
      <c r="AB81" s="160"/>
      <c r="AC81" s="160"/>
      <c r="AD81" s="160"/>
      <c r="AE81" s="160"/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404">
        <f t="shared" si="14"/>
        <v>842.09999999999991</v>
      </c>
      <c r="AR81" s="405">
        <f t="shared" si="15"/>
        <v>60</v>
      </c>
      <c r="AS81" s="404">
        <f t="shared" si="16"/>
        <v>14.034999999999998</v>
      </c>
      <c r="AT81" s="404">
        <f t="shared" si="17"/>
        <v>842.09999999999991</v>
      </c>
    </row>
    <row r="82" spans="1:46" s="270" customFormat="1" ht="15.75" customHeight="1" x14ac:dyDescent="0.25">
      <c r="A82" s="123">
        <v>76</v>
      </c>
      <c r="B82" s="363" t="s">
        <v>160</v>
      </c>
      <c r="C82" s="363" t="s">
        <v>187</v>
      </c>
      <c r="D82" s="363" t="s">
        <v>150</v>
      </c>
      <c r="E82" s="363" t="s">
        <v>195</v>
      </c>
      <c r="F82" s="363"/>
      <c r="G82" s="364">
        <f t="shared" si="18"/>
        <v>216.66666666666666</v>
      </c>
      <c r="H82" s="358">
        <f t="shared" si="13"/>
        <v>3250</v>
      </c>
      <c r="I82" s="364">
        <v>6500</v>
      </c>
      <c r="J82" s="365">
        <v>15</v>
      </c>
      <c r="K82" s="365"/>
      <c r="L82" s="365"/>
      <c r="M82" s="365"/>
      <c r="N82" s="366">
        <v>1000</v>
      </c>
      <c r="O82" s="366"/>
      <c r="P82" s="366"/>
      <c r="Q82" s="366"/>
      <c r="R82" s="367">
        <f t="shared" si="19"/>
        <v>3250</v>
      </c>
      <c r="S82" s="368"/>
      <c r="T82" s="368">
        <v>3250</v>
      </c>
      <c r="U82" s="264"/>
      <c r="V82" s="348">
        <f t="shared" si="21"/>
        <v>3250</v>
      </c>
      <c r="W82" s="296">
        <v>1657.9</v>
      </c>
      <c r="X82" s="160"/>
      <c r="Y82" s="160"/>
      <c r="Z82" s="160"/>
      <c r="AA82" s="160"/>
      <c r="AB82" s="160"/>
      <c r="AC82" s="160"/>
      <c r="AD82" s="160"/>
      <c r="AE82" s="160"/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404">
        <f t="shared" si="14"/>
        <v>1592.1</v>
      </c>
      <c r="AR82" s="405">
        <f t="shared" si="15"/>
        <v>59.999999999999993</v>
      </c>
      <c r="AS82" s="404">
        <f t="shared" si="16"/>
        <v>26.535</v>
      </c>
      <c r="AT82" s="404">
        <f t="shared" si="17"/>
        <v>1592.1</v>
      </c>
    </row>
    <row r="83" spans="1:46" s="270" customFormat="1" ht="15.75" customHeight="1" x14ac:dyDescent="0.25">
      <c r="A83" s="123">
        <v>77</v>
      </c>
      <c r="B83" s="363" t="s">
        <v>160</v>
      </c>
      <c r="C83" s="363" t="s">
        <v>187</v>
      </c>
      <c r="D83" s="363" t="s">
        <v>41</v>
      </c>
      <c r="E83" s="363" t="s">
        <v>167</v>
      </c>
      <c r="F83" s="363"/>
      <c r="G83" s="364">
        <f t="shared" si="18"/>
        <v>166.66666666666666</v>
      </c>
      <c r="H83" s="358">
        <f t="shared" si="13"/>
        <v>2500</v>
      </c>
      <c r="I83" s="364">
        <v>5000</v>
      </c>
      <c r="J83" s="365">
        <v>15</v>
      </c>
      <c r="K83" s="365"/>
      <c r="L83" s="365"/>
      <c r="M83" s="365"/>
      <c r="N83" s="366"/>
      <c r="O83" s="366"/>
      <c r="P83" s="366"/>
      <c r="Q83" s="366"/>
      <c r="R83" s="367">
        <f t="shared" si="19"/>
        <v>2500</v>
      </c>
      <c r="S83" s="368"/>
      <c r="T83" s="368">
        <f t="shared" si="20"/>
        <v>2500</v>
      </c>
      <c r="U83" s="264"/>
      <c r="V83" s="348">
        <f t="shared" si="21"/>
        <v>2500</v>
      </c>
      <c r="W83" s="296">
        <v>1657.9</v>
      </c>
      <c r="X83" s="160"/>
      <c r="Y83" s="160"/>
      <c r="Z83" s="160"/>
      <c r="AA83" s="160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404">
        <f t="shared" si="14"/>
        <v>842.09999999999991</v>
      </c>
      <c r="AR83" s="405">
        <f t="shared" si="15"/>
        <v>60</v>
      </c>
      <c r="AS83" s="404">
        <f t="shared" si="16"/>
        <v>14.034999999999998</v>
      </c>
      <c r="AT83" s="404">
        <f t="shared" si="17"/>
        <v>842.09999999999991</v>
      </c>
    </row>
    <row r="84" spans="1:46" s="270" customFormat="1" ht="15.75" customHeight="1" x14ac:dyDescent="0.25">
      <c r="A84" s="123">
        <v>78</v>
      </c>
      <c r="B84" s="363" t="s">
        <v>160</v>
      </c>
      <c r="C84" s="363" t="s">
        <v>40</v>
      </c>
      <c r="D84" s="363" t="s">
        <v>186</v>
      </c>
      <c r="E84" s="363" t="s">
        <v>168</v>
      </c>
      <c r="F84" s="363"/>
      <c r="G84" s="364">
        <f t="shared" si="18"/>
        <v>200</v>
      </c>
      <c r="H84" s="358">
        <f t="shared" si="13"/>
        <v>3000</v>
      </c>
      <c r="I84" s="364">
        <v>6000</v>
      </c>
      <c r="J84" s="365">
        <v>15</v>
      </c>
      <c r="K84" s="365"/>
      <c r="L84" s="365"/>
      <c r="M84" s="365"/>
      <c r="N84" s="366"/>
      <c r="O84" s="366"/>
      <c r="P84" s="366"/>
      <c r="Q84" s="366"/>
      <c r="R84" s="367">
        <f t="shared" si="19"/>
        <v>3000</v>
      </c>
      <c r="S84" s="368"/>
      <c r="T84" s="368">
        <f t="shared" si="20"/>
        <v>3000</v>
      </c>
      <c r="U84" s="264"/>
      <c r="V84" s="348">
        <f t="shared" si="21"/>
        <v>3000</v>
      </c>
      <c r="W84" s="296">
        <v>1657.9</v>
      </c>
      <c r="X84" s="160"/>
      <c r="Y84" s="160"/>
      <c r="Z84" s="160"/>
      <c r="AA84" s="160"/>
      <c r="AB84" s="160"/>
      <c r="AC84" s="160"/>
      <c r="AD84" s="160"/>
      <c r="AE84" s="160"/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404">
        <f t="shared" si="14"/>
        <v>1342.1</v>
      </c>
      <c r="AR84" s="405">
        <f t="shared" si="15"/>
        <v>60</v>
      </c>
      <c r="AS84" s="404">
        <f t="shared" si="16"/>
        <v>22.368333333333332</v>
      </c>
      <c r="AT84" s="404">
        <f t="shared" si="17"/>
        <v>1342.1</v>
      </c>
    </row>
    <row r="85" spans="1:46" s="10" customFormat="1" ht="23.25" customHeight="1" x14ac:dyDescent="0.25">
      <c r="A85" s="50"/>
      <c r="B85" s="376"/>
      <c r="C85" s="376"/>
      <c r="D85" s="376"/>
      <c r="E85" s="377" t="s">
        <v>113</v>
      </c>
      <c r="F85" s="377"/>
      <c r="G85" s="377"/>
      <c r="H85" s="378"/>
      <c r="I85" s="378"/>
      <c r="J85" s="379"/>
      <c r="K85" s="379"/>
      <c r="L85" s="379"/>
      <c r="M85" s="379"/>
      <c r="N85" s="378">
        <f t="shared" ref="N85:T85" si="22">SUM(N7:N84)</f>
        <v>4630</v>
      </c>
      <c r="O85" s="378">
        <f t="shared" si="22"/>
        <v>866.67000000000007</v>
      </c>
      <c r="P85" s="378">
        <f t="shared" si="22"/>
        <v>1250</v>
      </c>
      <c r="Q85" s="378">
        <f t="shared" si="22"/>
        <v>0</v>
      </c>
      <c r="R85" s="378">
        <f t="shared" si="22"/>
        <v>291992.2</v>
      </c>
      <c r="S85" s="378">
        <f t="shared" si="22"/>
        <v>12215.699999999999</v>
      </c>
      <c r="T85" s="378">
        <f t="shared" si="22"/>
        <v>298950</v>
      </c>
      <c r="U85" s="260"/>
      <c r="V85" s="259">
        <f>SUM(V7:V84)</f>
        <v>281566.66666666663</v>
      </c>
      <c r="W85" s="325"/>
    </row>
    <row r="86" spans="1:46" s="314" customFormat="1" ht="17.25" customHeight="1" x14ac:dyDescent="0.25">
      <c r="A86" s="50"/>
      <c r="B86" s="381"/>
      <c r="C86" s="381"/>
      <c r="D86" s="381"/>
      <c r="E86" s="301"/>
      <c r="F86" s="301"/>
      <c r="G86" s="302"/>
      <c r="H86" s="52"/>
      <c r="I86" s="52"/>
      <c r="J86" s="53"/>
      <c r="K86" s="53"/>
      <c r="L86" s="53"/>
      <c r="M86" s="53"/>
      <c r="N86" s="54"/>
      <c r="O86" s="54"/>
      <c r="P86" s="54"/>
      <c r="Q86" s="54"/>
      <c r="R86" s="105"/>
      <c r="S86" s="381"/>
      <c r="T86" s="381"/>
      <c r="U86" s="381"/>
      <c r="V86" s="296"/>
      <c r="W86" s="296"/>
    </row>
    <row r="87" spans="1:46" s="314" customFormat="1" ht="23.25" customHeight="1" x14ac:dyDescent="0.35">
      <c r="A87" s="50"/>
      <c r="B87" s="301"/>
      <c r="C87" s="301"/>
      <c r="D87" s="297" t="s">
        <v>146</v>
      </c>
      <c r="E87" s="298" t="s">
        <v>206</v>
      </c>
      <c r="F87" s="298"/>
      <c r="G87" s="298">
        <f>V85</f>
        <v>281566.66666666663</v>
      </c>
      <c r="H87" s="303"/>
      <c r="I87" s="302"/>
      <c r="J87" s="304"/>
      <c r="K87" s="304"/>
      <c r="L87" s="304"/>
      <c r="M87" s="304"/>
      <c r="N87" s="305"/>
      <c r="O87" s="305"/>
      <c r="P87" s="305"/>
      <c r="Q87" s="305"/>
      <c r="R87" s="306"/>
      <c r="S87" s="307"/>
      <c r="T87" s="301"/>
      <c r="U87" s="381"/>
      <c r="V87" s="296"/>
      <c r="W87" s="296"/>
    </row>
    <row r="88" spans="1:46" s="314" customFormat="1" ht="23.25" customHeight="1" x14ac:dyDescent="0.25">
      <c r="A88" s="50"/>
      <c r="B88" s="301"/>
      <c r="C88" s="301"/>
      <c r="D88" s="297" t="s">
        <v>147</v>
      </c>
      <c r="E88" s="298" t="s">
        <v>144</v>
      </c>
      <c r="F88" s="298"/>
      <c r="G88" s="298">
        <f>SUM(N85:Q85)</f>
        <v>6746.67</v>
      </c>
      <c r="H88" s="303"/>
      <c r="I88" s="303"/>
      <c r="J88" s="304"/>
      <c r="K88" s="304"/>
      <c r="L88" s="304"/>
      <c r="M88" s="304"/>
      <c r="N88" s="305"/>
      <c r="O88" s="305"/>
      <c r="P88" s="305"/>
      <c r="Q88" s="305"/>
      <c r="R88" s="306"/>
      <c r="S88" s="301"/>
      <c r="T88" s="301"/>
      <c r="U88" s="381"/>
      <c r="V88" s="296"/>
      <c r="W88" s="296"/>
    </row>
    <row r="89" spans="1:46" s="314" customFormat="1" ht="18.75" customHeight="1" x14ac:dyDescent="0.25">
      <c r="A89" s="381"/>
      <c r="B89" s="381"/>
      <c r="C89" s="381"/>
      <c r="D89" s="301"/>
      <c r="E89" s="299" t="s">
        <v>207</v>
      </c>
      <c r="F89" s="299"/>
      <c r="G89" s="299">
        <f>G87-G88</f>
        <v>274819.99666666664</v>
      </c>
      <c r="H89" s="303"/>
      <c r="I89" s="303"/>
      <c r="J89" s="304"/>
      <c r="K89" s="304"/>
      <c r="L89" s="304"/>
      <c r="M89" s="304"/>
      <c r="N89" s="305"/>
      <c r="O89" s="305"/>
      <c r="P89" s="305"/>
      <c r="Q89" s="305"/>
      <c r="R89" s="306"/>
      <c r="S89" s="301"/>
      <c r="T89" s="301"/>
      <c r="U89" s="381"/>
      <c r="V89" s="296" t="e">
        <f>E89*J89</f>
        <v>#VALUE!</v>
      </c>
      <c r="W89" s="296"/>
    </row>
    <row r="91" spans="1:46" s="314" customFormat="1" x14ac:dyDescent="0.25">
      <c r="A91" s="381"/>
      <c r="B91" s="381"/>
      <c r="C91" s="381"/>
      <c r="D91" s="381"/>
      <c r="E91" s="381"/>
      <c r="F91" s="381"/>
      <c r="G91" s="51"/>
      <c r="H91" s="52"/>
      <c r="I91" s="52"/>
      <c r="J91" s="53"/>
      <c r="K91" s="53"/>
      <c r="L91" s="53"/>
      <c r="M91" s="53"/>
      <c r="N91" s="54"/>
      <c r="O91" s="54"/>
      <c r="P91" s="54"/>
      <c r="Q91" s="54"/>
      <c r="R91" s="105"/>
      <c r="S91" s="381"/>
      <c r="T91" s="381"/>
      <c r="U91" s="381"/>
      <c r="V91" s="381"/>
      <c r="W91" s="381"/>
    </row>
    <row r="93" spans="1:46" s="314" customFormat="1" x14ac:dyDescent="0.25">
      <c r="A93" s="381"/>
      <c r="B93" s="381"/>
      <c r="C93" s="381"/>
      <c r="D93" s="381"/>
      <c r="E93" s="381"/>
      <c r="F93" s="381"/>
      <c r="G93" s="51"/>
      <c r="H93" s="52"/>
      <c r="I93" s="52"/>
      <c r="J93" s="53"/>
      <c r="K93" s="53"/>
      <c r="L93" s="53"/>
      <c r="M93" s="53"/>
      <c r="N93" s="54"/>
      <c r="O93" s="54"/>
      <c r="P93" s="54"/>
      <c r="Q93" s="54"/>
      <c r="R93" s="105"/>
      <c r="S93" s="381"/>
      <c r="T93" s="381"/>
      <c r="U93" s="381"/>
      <c r="V93" s="381"/>
      <c r="W93" s="381"/>
    </row>
  </sheetData>
  <autoFilter ref="A5:T89"/>
  <mergeCells count="4">
    <mergeCell ref="B1:S1"/>
    <mergeCell ref="B2:S2"/>
    <mergeCell ref="N4:Q4"/>
    <mergeCell ref="L5:M5"/>
  </mergeCells>
  <pageMargins left="0" right="0" top="0.35433070866141736" bottom="0.39370078740157483" header="0.31496062992125984" footer="0.31496062992125984"/>
  <pageSetup paperSize="3" scale="42" fitToHeight="2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P93"/>
  <sheetViews>
    <sheetView showGridLines="0" zoomScale="55" zoomScaleNormal="55" zoomScaleSheetLayoutView="25" workbookViewId="0">
      <pane xSplit="5" ySplit="5" topLeftCell="F27" activePane="bottomRight" state="frozen"/>
      <selection activeCell="H41" sqref="H41"/>
      <selection pane="topRight" activeCell="H41" sqref="H41"/>
      <selection pane="bottomLeft" activeCell="H41" sqref="H41"/>
      <selection pane="bottomRight" activeCell="H41" sqref="H41"/>
    </sheetView>
  </sheetViews>
  <sheetFormatPr baseColWidth="10" defaultColWidth="9.140625" defaultRowHeight="15" outlineLevelCol="1" x14ac:dyDescent="0.25"/>
  <cols>
    <col min="1" max="1" width="12.28515625" style="313" bestFit="1" customWidth="1"/>
    <col min="2" max="2" width="18" style="313" customWidth="1" outlineLevel="1"/>
    <col min="3" max="3" width="21.140625" style="313" customWidth="1" outlineLevel="1"/>
    <col min="4" max="4" width="35" style="313" customWidth="1" outlineLevel="1"/>
    <col min="5" max="5" width="54.42578125" style="313" customWidth="1"/>
    <col min="6" max="6" width="39.7109375" style="336" hidden="1" customWidth="1"/>
    <col min="7" max="7" width="24.5703125" style="51" customWidth="1" outlineLevel="1"/>
    <col min="8" max="8" width="29.28515625" style="52" customWidth="1" outlineLevel="1"/>
    <col min="9" max="9" width="27.42578125" style="52" customWidth="1" outlineLevel="1"/>
    <col min="10" max="10" width="29.140625" style="53" customWidth="1" outlineLevel="1"/>
    <col min="11" max="11" width="15.5703125" style="53" customWidth="1" outlineLevel="1"/>
    <col min="12" max="12" width="11.85546875" style="53" bestFit="1" customWidth="1" outlineLevel="1"/>
    <col min="13" max="13" width="16.7109375" style="53" customWidth="1" outlineLevel="1"/>
    <col min="14" max="14" width="34.85546875" style="54" bestFit="1" customWidth="1"/>
    <col min="15" max="15" width="21.85546875" style="54" bestFit="1" customWidth="1"/>
    <col min="16" max="16" width="32.7109375" style="54" bestFit="1" customWidth="1"/>
    <col min="17" max="17" width="30.28515625" style="54" bestFit="1" customWidth="1"/>
    <col min="18" max="18" width="31" style="105" bestFit="1" customWidth="1"/>
    <col min="19" max="19" width="19" style="313" customWidth="1"/>
    <col min="20" max="20" width="31" style="313" bestFit="1" customWidth="1"/>
    <col min="21" max="21" width="32.5703125" style="313" customWidth="1"/>
    <col min="22" max="22" width="20.140625" style="313" bestFit="1" customWidth="1"/>
    <col min="23" max="23" width="9.7109375" style="313" customWidth="1"/>
    <col min="24" max="24" width="31" style="314" bestFit="1" customWidth="1"/>
    <col min="25" max="25" width="11.42578125" style="314" bestFit="1" customWidth="1"/>
    <col min="26" max="26" width="14.7109375" style="314" bestFit="1" customWidth="1"/>
    <col min="27" max="27" width="6.140625" style="314" bestFit="1" customWidth="1"/>
    <col min="28" max="28" width="4.42578125" style="314" bestFit="1" customWidth="1"/>
    <col min="29" max="29" width="4.28515625" style="314" bestFit="1" customWidth="1"/>
    <col min="30" max="30" width="31.5703125" style="314" bestFit="1" customWidth="1"/>
    <col min="31" max="31" width="22" style="314" bestFit="1" customWidth="1"/>
    <col min="32" max="32" width="23.7109375" style="314" bestFit="1" customWidth="1"/>
    <col min="33" max="33" width="26.5703125" style="314" bestFit="1" customWidth="1"/>
    <col min="34" max="34" width="31.140625" style="314" bestFit="1" customWidth="1"/>
    <col min="35" max="35" width="22.28515625" style="314" bestFit="1" customWidth="1"/>
    <col min="36" max="36" width="27.7109375" style="314" bestFit="1" customWidth="1"/>
    <col min="37" max="37" width="28.7109375" style="314" bestFit="1" customWidth="1"/>
    <col min="38" max="38" width="30.5703125" style="314" bestFit="1" customWidth="1"/>
    <col min="39" max="39" width="34.7109375" style="314" bestFit="1" customWidth="1"/>
    <col min="40" max="40" width="29.140625" style="314" bestFit="1" customWidth="1"/>
    <col min="41" max="41" width="33" style="314" bestFit="1" customWidth="1"/>
    <col min="42" max="42" width="9" style="314" bestFit="1" customWidth="1"/>
    <col min="43" max="16384" width="9.140625" style="313"/>
  </cols>
  <sheetData>
    <row r="1" spans="1:42" ht="50.1" customHeight="1" x14ac:dyDescent="0.25"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</row>
    <row r="2" spans="1:42" ht="18.75" x14ac:dyDescent="0.25">
      <c r="B2" s="394" t="s">
        <v>236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</row>
    <row r="3" spans="1:42" ht="15.75" thickBot="1" x14ac:dyDescent="0.3">
      <c r="B3" s="278" t="s">
        <v>0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</row>
    <row r="4" spans="1:42" ht="19.5" thickBot="1" x14ac:dyDescent="0.35">
      <c r="B4" s="312"/>
      <c r="G4" s="313"/>
      <c r="H4" s="319"/>
      <c r="I4" s="313"/>
      <c r="J4" s="313"/>
      <c r="K4" s="313"/>
      <c r="L4" s="327"/>
      <c r="M4" s="327"/>
      <c r="N4" s="389" t="s">
        <v>144</v>
      </c>
      <c r="O4" s="390"/>
      <c r="P4" s="390"/>
      <c r="Q4" s="391"/>
      <c r="R4" s="313"/>
    </row>
    <row r="5" spans="1:42" s="2" customFormat="1" ht="38.25" customHeight="1" x14ac:dyDescent="0.25">
      <c r="A5" s="295" t="s">
        <v>1</v>
      </c>
      <c r="B5" s="88" t="s">
        <v>2</v>
      </c>
      <c r="C5" s="89" t="s">
        <v>3</v>
      </c>
      <c r="D5" s="89" t="s">
        <v>4</v>
      </c>
      <c r="E5" s="89" t="s">
        <v>5</v>
      </c>
      <c r="F5" s="89" t="s">
        <v>269</v>
      </c>
      <c r="G5" s="90" t="s">
        <v>6</v>
      </c>
      <c r="H5" s="91" t="s">
        <v>140</v>
      </c>
      <c r="I5" s="91" t="s">
        <v>141</v>
      </c>
      <c r="J5" s="92" t="s">
        <v>8</v>
      </c>
      <c r="K5" s="89" t="s">
        <v>9</v>
      </c>
      <c r="L5" s="396" t="s">
        <v>266</v>
      </c>
      <c r="M5" s="396"/>
      <c r="N5" s="238" t="s">
        <v>10</v>
      </c>
      <c r="O5" s="238" t="s">
        <v>11</v>
      </c>
      <c r="P5" s="238" t="s">
        <v>12</v>
      </c>
      <c r="Q5" s="238" t="s">
        <v>13</v>
      </c>
      <c r="R5" s="93" t="s">
        <v>14</v>
      </c>
      <c r="S5" s="94" t="s">
        <v>15</v>
      </c>
      <c r="T5" s="89" t="s">
        <v>16</v>
      </c>
      <c r="U5" s="96" t="s">
        <v>18</v>
      </c>
      <c r="V5" s="2" t="s">
        <v>208</v>
      </c>
      <c r="X5" s="315" t="s">
        <v>217</v>
      </c>
      <c r="Y5" s="315" t="s">
        <v>218</v>
      </c>
      <c r="Z5" s="315" t="s">
        <v>219</v>
      </c>
      <c r="AA5" s="315" t="s">
        <v>220</v>
      </c>
      <c r="AB5" s="315" t="s">
        <v>221</v>
      </c>
      <c r="AC5" s="315" t="s">
        <v>222</v>
      </c>
      <c r="AD5" s="315" t="s">
        <v>223</v>
      </c>
      <c r="AE5" s="315" t="s">
        <v>224</v>
      </c>
      <c r="AF5" s="315" t="s">
        <v>225</v>
      </c>
      <c r="AG5" s="315" t="s">
        <v>226</v>
      </c>
      <c r="AH5" s="315" t="s">
        <v>227</v>
      </c>
      <c r="AI5" s="315" t="s">
        <v>228</v>
      </c>
      <c r="AJ5" s="315" t="s">
        <v>229</v>
      </c>
      <c r="AK5" s="315" t="s">
        <v>230</v>
      </c>
      <c r="AL5" s="315" t="s">
        <v>231</v>
      </c>
      <c r="AM5" s="315" t="s">
        <v>232</v>
      </c>
      <c r="AN5" s="315" t="s">
        <v>233</v>
      </c>
      <c r="AO5" s="315" t="s">
        <v>234</v>
      </c>
      <c r="AP5" s="315" t="s">
        <v>235</v>
      </c>
    </row>
    <row r="6" spans="1:42" s="2" customFormat="1" ht="14.25" customHeight="1" x14ac:dyDescent="0.25">
      <c r="A6" s="339"/>
      <c r="B6" s="337"/>
      <c r="C6" s="337"/>
      <c r="D6" s="337"/>
      <c r="E6" s="337"/>
      <c r="F6" s="337"/>
      <c r="G6" s="238"/>
      <c r="H6" s="340"/>
      <c r="I6" s="340"/>
      <c r="J6" s="341"/>
      <c r="K6" s="337"/>
      <c r="L6" s="338">
        <v>3</v>
      </c>
      <c r="M6" s="338">
        <v>10</v>
      </c>
      <c r="N6" s="238"/>
      <c r="O6" s="238"/>
      <c r="P6" s="238"/>
      <c r="Q6" s="238"/>
      <c r="R6" s="342"/>
      <c r="S6" s="337"/>
      <c r="T6" s="337"/>
      <c r="U6" s="343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344"/>
    </row>
    <row r="7" spans="1:42" s="160" customFormat="1" ht="15.75" customHeight="1" x14ac:dyDescent="0.25">
      <c r="A7" s="123">
        <v>1</v>
      </c>
      <c r="B7" s="162" t="s">
        <v>19</v>
      </c>
      <c r="C7" s="162" t="s">
        <v>20</v>
      </c>
      <c r="D7" s="162" t="s">
        <v>178</v>
      </c>
      <c r="E7" s="162" t="s">
        <v>22</v>
      </c>
      <c r="F7" s="162"/>
      <c r="G7" s="163">
        <f t="shared" ref="G7:G77" si="0">H7/15</f>
        <v>1000</v>
      </c>
      <c r="H7" s="163">
        <f t="shared" ref="H7:H8" si="1">I7/2</f>
        <v>15000</v>
      </c>
      <c r="I7" s="163">
        <v>30000</v>
      </c>
      <c r="J7" s="164">
        <v>15</v>
      </c>
      <c r="K7" s="164"/>
      <c r="L7" s="164"/>
      <c r="M7" s="164"/>
      <c r="N7" s="165"/>
      <c r="O7" s="165"/>
      <c r="P7" s="165"/>
      <c r="Q7" s="165"/>
      <c r="R7" s="166">
        <f t="shared" ref="R7:R77" si="2">T7-S7</f>
        <v>13284.33</v>
      </c>
      <c r="S7" s="167">
        <v>1715.67</v>
      </c>
      <c r="T7" s="167">
        <f t="shared" ref="T7:T77" si="3">(J7*G7)-(N7+O7+P7+Q7)</f>
        <v>15000</v>
      </c>
      <c r="U7" s="162"/>
      <c r="V7" s="296">
        <f>G7*J7</f>
        <v>15000</v>
      </c>
      <c r="W7" s="296"/>
    </row>
    <row r="8" spans="1:42" s="160" customFormat="1" ht="15.75" customHeight="1" x14ac:dyDescent="0.25">
      <c r="A8" s="123">
        <v>2</v>
      </c>
      <c r="B8" s="162" t="s">
        <v>19</v>
      </c>
      <c r="C8" s="162" t="s">
        <v>20</v>
      </c>
      <c r="D8" s="162" t="s">
        <v>179</v>
      </c>
      <c r="E8" s="162" t="s">
        <v>24</v>
      </c>
      <c r="F8" s="162"/>
      <c r="G8" s="163">
        <f t="shared" si="0"/>
        <v>1000</v>
      </c>
      <c r="H8" s="163">
        <f t="shared" si="1"/>
        <v>15000</v>
      </c>
      <c r="I8" s="163">
        <v>30000</v>
      </c>
      <c r="J8" s="164">
        <v>15</v>
      </c>
      <c r="K8" s="164"/>
      <c r="L8" s="164"/>
      <c r="M8" s="164"/>
      <c r="N8" s="165"/>
      <c r="O8" s="165"/>
      <c r="P8" s="165"/>
      <c r="Q8" s="165"/>
      <c r="R8" s="166">
        <f t="shared" si="2"/>
        <v>15000</v>
      </c>
      <c r="S8" s="167"/>
      <c r="T8" s="167">
        <f t="shared" si="3"/>
        <v>15000</v>
      </c>
      <c r="U8" s="162"/>
      <c r="V8" s="296">
        <f t="shared" ref="V8:V79" si="4">G8*J8</f>
        <v>15000</v>
      </c>
      <c r="W8" s="296"/>
    </row>
    <row r="9" spans="1:42" s="160" customFormat="1" ht="15.75" customHeight="1" x14ac:dyDescent="0.25">
      <c r="A9" s="123">
        <v>3</v>
      </c>
      <c r="B9" s="162" t="s">
        <v>19</v>
      </c>
      <c r="C9" s="162" t="s">
        <v>20</v>
      </c>
      <c r="D9" s="162" t="s">
        <v>180</v>
      </c>
      <c r="E9" s="162" t="s">
        <v>139</v>
      </c>
      <c r="F9" s="162"/>
      <c r="G9" s="163">
        <f t="shared" si="0"/>
        <v>666.66666666666663</v>
      </c>
      <c r="H9" s="163">
        <f t="shared" ref="H9:H24" si="5">I9/2</f>
        <v>10000</v>
      </c>
      <c r="I9" s="163">
        <v>20000</v>
      </c>
      <c r="J9" s="164">
        <v>15</v>
      </c>
      <c r="K9" s="164"/>
      <c r="L9" s="164"/>
      <c r="M9" s="164"/>
      <c r="N9" s="165"/>
      <c r="O9" s="165"/>
      <c r="P9" s="165"/>
      <c r="Q9" s="165"/>
      <c r="R9" s="166">
        <f t="shared" si="2"/>
        <v>10000</v>
      </c>
      <c r="S9" s="167"/>
      <c r="T9" s="167">
        <f t="shared" si="3"/>
        <v>10000</v>
      </c>
      <c r="U9" s="162"/>
      <c r="V9" s="296">
        <f t="shared" si="4"/>
        <v>10000</v>
      </c>
      <c r="W9" s="296"/>
    </row>
    <row r="10" spans="1:42" s="160" customFormat="1" ht="15.75" customHeight="1" x14ac:dyDescent="0.25">
      <c r="A10" s="123">
        <v>4</v>
      </c>
      <c r="B10" s="162" t="s">
        <v>19</v>
      </c>
      <c r="C10" s="162" t="s">
        <v>20</v>
      </c>
      <c r="D10" s="162" t="s">
        <v>169</v>
      </c>
      <c r="E10" s="162" t="s">
        <v>170</v>
      </c>
      <c r="F10" s="162"/>
      <c r="G10" s="163">
        <f t="shared" si="0"/>
        <v>500</v>
      </c>
      <c r="H10" s="163">
        <f t="shared" si="5"/>
        <v>7500</v>
      </c>
      <c r="I10" s="163">
        <v>15000</v>
      </c>
      <c r="J10" s="164">
        <v>15</v>
      </c>
      <c r="K10" s="164"/>
      <c r="L10" s="164"/>
      <c r="M10" s="164"/>
      <c r="N10" s="165"/>
      <c r="O10" s="165"/>
      <c r="P10" s="165"/>
      <c r="Q10" s="165"/>
      <c r="R10" s="166">
        <f t="shared" si="2"/>
        <v>7500</v>
      </c>
      <c r="S10" s="167"/>
      <c r="T10" s="167">
        <f t="shared" si="3"/>
        <v>7500</v>
      </c>
      <c r="U10" s="162"/>
      <c r="V10" s="296">
        <f t="shared" si="4"/>
        <v>7500</v>
      </c>
      <c r="W10" s="296"/>
    </row>
    <row r="11" spans="1:42" s="160" customFormat="1" ht="15.75" customHeight="1" x14ac:dyDescent="0.25">
      <c r="A11" s="123">
        <v>5</v>
      </c>
      <c r="B11" s="162" t="s">
        <v>19</v>
      </c>
      <c r="C11" s="162" t="s">
        <v>20</v>
      </c>
      <c r="D11" s="162" t="s">
        <v>173</v>
      </c>
      <c r="E11" s="162" t="s">
        <v>172</v>
      </c>
      <c r="F11" s="162"/>
      <c r="G11" s="163">
        <f t="shared" si="0"/>
        <v>233.33333333333334</v>
      </c>
      <c r="H11" s="163">
        <f t="shared" si="5"/>
        <v>3500</v>
      </c>
      <c r="I11" s="163">
        <v>7000</v>
      </c>
      <c r="J11" s="164">
        <v>15</v>
      </c>
      <c r="K11" s="164"/>
      <c r="L11" s="164"/>
      <c r="M11" s="164"/>
      <c r="N11" s="165"/>
      <c r="O11" s="165"/>
      <c r="P11" s="165"/>
      <c r="Q11" s="165"/>
      <c r="R11" s="166">
        <f t="shared" si="2"/>
        <v>3500</v>
      </c>
      <c r="S11" s="167"/>
      <c r="T11" s="167">
        <f t="shared" si="3"/>
        <v>3500</v>
      </c>
      <c r="U11" s="162"/>
      <c r="V11" s="296">
        <f t="shared" si="4"/>
        <v>3500</v>
      </c>
      <c r="W11" s="296"/>
    </row>
    <row r="12" spans="1:42" s="160" customFormat="1" ht="15.75" customHeight="1" x14ac:dyDescent="0.25">
      <c r="A12" s="123">
        <v>6</v>
      </c>
      <c r="B12" s="162" t="s">
        <v>19</v>
      </c>
      <c r="C12" s="162" t="s">
        <v>20</v>
      </c>
      <c r="D12" s="162" t="s">
        <v>171</v>
      </c>
      <c r="E12" s="162" t="s">
        <v>29</v>
      </c>
      <c r="F12" s="162"/>
      <c r="G12" s="163">
        <f t="shared" si="0"/>
        <v>266.66666666666669</v>
      </c>
      <c r="H12" s="163">
        <f t="shared" si="5"/>
        <v>4000</v>
      </c>
      <c r="I12" s="163">
        <v>8000</v>
      </c>
      <c r="J12" s="164">
        <v>15</v>
      </c>
      <c r="K12" s="164"/>
      <c r="L12" s="164"/>
      <c r="M12" s="164"/>
      <c r="N12" s="165"/>
      <c r="O12" s="165"/>
      <c r="P12" s="165"/>
      <c r="Q12" s="165"/>
      <c r="R12" s="166">
        <f t="shared" si="2"/>
        <v>4000.0000000000005</v>
      </c>
      <c r="S12" s="167"/>
      <c r="T12" s="167">
        <f t="shared" si="3"/>
        <v>4000.0000000000005</v>
      </c>
      <c r="U12" s="162"/>
      <c r="V12" s="296">
        <f t="shared" si="4"/>
        <v>4000.0000000000005</v>
      </c>
      <c r="W12" s="296"/>
    </row>
    <row r="13" spans="1:42" s="160" customFormat="1" ht="15.75" customHeight="1" x14ac:dyDescent="0.25">
      <c r="A13" s="123">
        <v>7</v>
      </c>
      <c r="B13" s="162" t="s">
        <v>19</v>
      </c>
      <c r="C13" s="162" t="s">
        <v>20</v>
      </c>
      <c r="D13" s="162" t="s">
        <v>177</v>
      </c>
      <c r="E13" s="162" t="s">
        <v>137</v>
      </c>
      <c r="F13" s="162"/>
      <c r="G13" s="163">
        <f t="shared" si="0"/>
        <v>233.33333333333334</v>
      </c>
      <c r="H13" s="163">
        <f t="shared" si="5"/>
        <v>3500</v>
      </c>
      <c r="I13" s="163">
        <v>7000</v>
      </c>
      <c r="J13" s="164">
        <v>15</v>
      </c>
      <c r="K13" s="164"/>
      <c r="L13" s="164"/>
      <c r="M13" s="164"/>
      <c r="N13" s="165"/>
      <c r="O13" s="165"/>
      <c r="P13" s="165"/>
      <c r="Q13" s="165"/>
      <c r="R13" s="166">
        <f t="shared" si="2"/>
        <v>3500</v>
      </c>
      <c r="S13" s="167"/>
      <c r="T13" s="167">
        <f t="shared" si="3"/>
        <v>3500</v>
      </c>
      <c r="U13" s="162"/>
      <c r="V13" s="296">
        <f t="shared" si="4"/>
        <v>3500</v>
      </c>
      <c r="W13" s="296"/>
      <c r="X13" s="316">
        <v>1</v>
      </c>
      <c r="Y13" s="316">
        <v>1</v>
      </c>
      <c r="Z13" s="316">
        <v>1</v>
      </c>
      <c r="AA13" s="316">
        <v>0</v>
      </c>
      <c r="AB13" s="317">
        <v>0</v>
      </c>
      <c r="AC13" s="316">
        <v>0</v>
      </c>
      <c r="AD13" s="316">
        <v>0</v>
      </c>
      <c r="AE13" s="316">
        <v>0</v>
      </c>
      <c r="AF13" s="316">
        <v>0</v>
      </c>
      <c r="AG13" s="317">
        <v>1</v>
      </c>
      <c r="AH13" s="316">
        <v>1</v>
      </c>
      <c r="AI13" s="316">
        <v>0</v>
      </c>
      <c r="AJ13" s="316">
        <v>0</v>
      </c>
      <c r="AK13" s="316">
        <v>0</v>
      </c>
      <c r="AL13" s="316">
        <v>0</v>
      </c>
      <c r="AM13" s="316">
        <v>0</v>
      </c>
      <c r="AN13" s="316">
        <v>0</v>
      </c>
      <c r="AO13" s="317">
        <v>0</v>
      </c>
    </row>
    <row r="14" spans="1:42" s="160" customFormat="1" ht="15.75" customHeight="1" x14ac:dyDescent="0.25">
      <c r="A14" s="123">
        <v>8</v>
      </c>
      <c r="B14" s="162" t="s">
        <v>19</v>
      </c>
      <c r="C14" s="162" t="s">
        <v>20</v>
      </c>
      <c r="D14" s="162" t="s">
        <v>174</v>
      </c>
      <c r="E14" s="162" t="s">
        <v>31</v>
      </c>
      <c r="F14" s="162"/>
      <c r="G14" s="163">
        <f t="shared" si="0"/>
        <v>400</v>
      </c>
      <c r="H14" s="163">
        <f t="shared" si="5"/>
        <v>6000</v>
      </c>
      <c r="I14" s="163">
        <v>12000</v>
      </c>
      <c r="J14" s="164">
        <v>15</v>
      </c>
      <c r="K14" s="164"/>
      <c r="L14" s="164"/>
      <c r="M14" s="164"/>
      <c r="N14" s="165">
        <v>1000</v>
      </c>
      <c r="O14" s="165"/>
      <c r="P14" s="165"/>
      <c r="Q14" s="165"/>
      <c r="R14" s="166">
        <f t="shared" si="2"/>
        <v>5000</v>
      </c>
      <c r="S14" s="167"/>
      <c r="T14" s="167">
        <f t="shared" si="3"/>
        <v>5000</v>
      </c>
      <c r="U14" s="162"/>
      <c r="V14" s="296">
        <f t="shared" si="4"/>
        <v>6000</v>
      </c>
      <c r="W14" s="296"/>
    </row>
    <row r="15" spans="1:42" s="160" customFormat="1" ht="15.75" customHeight="1" x14ac:dyDescent="0.25">
      <c r="A15" s="123">
        <v>9</v>
      </c>
      <c r="B15" s="162" t="s">
        <v>19</v>
      </c>
      <c r="C15" s="162" t="s">
        <v>20</v>
      </c>
      <c r="D15" s="162" t="s">
        <v>181</v>
      </c>
      <c r="E15" s="162" t="s">
        <v>130</v>
      </c>
      <c r="F15" s="162"/>
      <c r="G15" s="163">
        <f t="shared" si="0"/>
        <v>500</v>
      </c>
      <c r="H15" s="163">
        <f t="shared" si="5"/>
        <v>7500</v>
      </c>
      <c r="I15" s="163">
        <v>15000</v>
      </c>
      <c r="J15" s="164">
        <v>15</v>
      </c>
      <c r="K15" s="164"/>
      <c r="L15" s="164"/>
      <c r="M15" s="164"/>
      <c r="N15" s="165"/>
      <c r="O15" s="165"/>
      <c r="P15" s="165"/>
      <c r="Q15" s="165"/>
      <c r="R15" s="166">
        <f t="shared" si="2"/>
        <v>7500</v>
      </c>
      <c r="S15" s="167"/>
      <c r="T15" s="167">
        <f t="shared" si="3"/>
        <v>7500</v>
      </c>
      <c r="U15" s="162"/>
      <c r="V15" s="296">
        <f t="shared" si="4"/>
        <v>7500</v>
      </c>
      <c r="W15" s="296"/>
      <c r="X15" s="316">
        <v>1</v>
      </c>
      <c r="Y15" s="316">
        <v>1</v>
      </c>
      <c r="Z15" s="316">
        <v>1</v>
      </c>
      <c r="AA15" s="316">
        <v>1</v>
      </c>
      <c r="AB15" s="317">
        <v>1</v>
      </c>
      <c r="AC15" s="316">
        <v>1</v>
      </c>
      <c r="AD15" s="316">
        <v>1</v>
      </c>
      <c r="AE15" s="316">
        <v>0</v>
      </c>
      <c r="AF15" s="316">
        <v>1</v>
      </c>
      <c r="AG15" s="317">
        <v>0</v>
      </c>
      <c r="AH15" s="316">
        <v>1</v>
      </c>
      <c r="AI15" s="316">
        <v>1</v>
      </c>
      <c r="AJ15" s="316">
        <v>1</v>
      </c>
      <c r="AK15" s="316">
        <v>1</v>
      </c>
      <c r="AL15" s="316">
        <v>1</v>
      </c>
      <c r="AM15" s="316">
        <v>0</v>
      </c>
      <c r="AN15" s="316">
        <v>0</v>
      </c>
      <c r="AO15" s="317"/>
    </row>
    <row r="16" spans="1:42" s="160" customFormat="1" ht="15.75" customHeight="1" x14ac:dyDescent="0.25">
      <c r="A16" s="123">
        <v>10</v>
      </c>
      <c r="B16" s="162" t="s">
        <v>19</v>
      </c>
      <c r="C16" s="162" t="s">
        <v>20</v>
      </c>
      <c r="D16" s="162" t="s">
        <v>189</v>
      </c>
      <c r="E16" s="162" t="s">
        <v>237</v>
      </c>
      <c r="F16" s="162" t="s">
        <v>270</v>
      </c>
      <c r="G16" s="163">
        <f t="shared" ref="G16" si="6">H16/15</f>
        <v>400</v>
      </c>
      <c r="H16" s="163">
        <f t="shared" si="5"/>
        <v>6000</v>
      </c>
      <c r="I16" s="163">
        <v>12000</v>
      </c>
      <c r="J16" s="164">
        <v>10</v>
      </c>
      <c r="K16" s="164"/>
      <c r="L16" s="164"/>
      <c r="M16" s="164"/>
      <c r="N16" s="165"/>
      <c r="O16" s="165"/>
      <c r="P16" s="165"/>
      <c r="Q16" s="165"/>
      <c r="R16" s="166">
        <f t="shared" ref="R16" si="7">T16-S16</f>
        <v>4000</v>
      </c>
      <c r="S16" s="167"/>
      <c r="T16" s="167">
        <f t="shared" ref="T16" si="8">(J16*G16)-(N16+O16+P16+Q16)</f>
        <v>4000</v>
      </c>
      <c r="U16" s="162"/>
      <c r="V16" s="296">
        <f t="shared" si="4"/>
        <v>4000</v>
      </c>
      <c r="W16" s="296"/>
    </row>
    <row r="17" spans="1:41" s="160" customFormat="1" ht="15.75" customHeight="1" x14ac:dyDescent="0.25">
      <c r="A17" s="123">
        <v>11</v>
      </c>
      <c r="B17" s="162" t="s">
        <v>19</v>
      </c>
      <c r="C17" s="162" t="s">
        <v>176</v>
      </c>
      <c r="D17" s="162" t="s">
        <v>175</v>
      </c>
      <c r="E17" s="162" t="s">
        <v>36</v>
      </c>
      <c r="F17" s="162"/>
      <c r="G17" s="163">
        <f t="shared" si="0"/>
        <v>833.33333333333337</v>
      </c>
      <c r="H17" s="163">
        <f t="shared" si="5"/>
        <v>12500</v>
      </c>
      <c r="I17" s="163">
        <v>25000</v>
      </c>
      <c r="J17" s="164">
        <v>15</v>
      </c>
      <c r="K17" s="164"/>
      <c r="L17" s="164"/>
      <c r="M17" s="164"/>
      <c r="N17" s="165"/>
      <c r="O17" s="165"/>
      <c r="P17" s="165"/>
      <c r="Q17" s="165"/>
      <c r="R17" s="166">
        <f t="shared" si="2"/>
        <v>10842.1</v>
      </c>
      <c r="S17" s="167">
        <v>1657.9</v>
      </c>
      <c r="T17" s="167">
        <f t="shared" si="3"/>
        <v>12500</v>
      </c>
      <c r="U17" s="162"/>
      <c r="V17" s="296">
        <f t="shared" si="4"/>
        <v>12500</v>
      </c>
      <c r="W17" s="296"/>
      <c r="X17" s="316">
        <v>1</v>
      </c>
      <c r="Y17" s="316">
        <v>1</v>
      </c>
      <c r="Z17" s="316">
        <v>1</v>
      </c>
      <c r="AA17" s="316">
        <v>1</v>
      </c>
      <c r="AB17" s="317">
        <v>0</v>
      </c>
      <c r="AC17" s="316">
        <v>1</v>
      </c>
      <c r="AD17" s="316">
        <v>1</v>
      </c>
      <c r="AE17" s="316">
        <v>0</v>
      </c>
      <c r="AF17" s="316">
        <v>1</v>
      </c>
      <c r="AG17" s="317">
        <v>1</v>
      </c>
      <c r="AH17" s="316">
        <v>0</v>
      </c>
      <c r="AI17" s="316">
        <v>1</v>
      </c>
      <c r="AJ17" s="316">
        <v>1</v>
      </c>
      <c r="AK17" s="316">
        <v>0</v>
      </c>
      <c r="AL17" s="316">
        <v>0</v>
      </c>
      <c r="AM17" s="316">
        <v>0</v>
      </c>
      <c r="AN17" s="316">
        <v>0</v>
      </c>
      <c r="AO17" s="317">
        <v>0</v>
      </c>
    </row>
    <row r="18" spans="1:41" s="160" customFormat="1" ht="15.75" customHeight="1" x14ac:dyDescent="0.25">
      <c r="A18" s="123">
        <v>12</v>
      </c>
      <c r="B18" s="162" t="s">
        <v>19</v>
      </c>
      <c r="C18" s="162" t="s">
        <v>176</v>
      </c>
      <c r="D18" s="162" t="s">
        <v>37</v>
      </c>
      <c r="E18" s="162" t="s">
        <v>38</v>
      </c>
      <c r="F18" s="162"/>
      <c r="G18" s="163">
        <f t="shared" si="0"/>
        <v>266.66666666666669</v>
      </c>
      <c r="H18" s="163">
        <f t="shared" si="5"/>
        <v>4000</v>
      </c>
      <c r="I18" s="163">
        <v>8000</v>
      </c>
      <c r="J18" s="164">
        <v>15</v>
      </c>
      <c r="K18" s="164"/>
      <c r="L18" s="164"/>
      <c r="M18" s="164"/>
      <c r="N18" s="165"/>
      <c r="O18" s="165"/>
      <c r="P18" s="165"/>
      <c r="Q18" s="165"/>
      <c r="R18" s="166">
        <f t="shared" si="2"/>
        <v>2342.1000000000004</v>
      </c>
      <c r="S18" s="167">
        <v>1657.9</v>
      </c>
      <c r="T18" s="167">
        <f t="shared" si="3"/>
        <v>4000.0000000000005</v>
      </c>
      <c r="U18" s="162"/>
      <c r="V18" s="296">
        <f t="shared" si="4"/>
        <v>4000.0000000000005</v>
      </c>
      <c r="W18" s="296"/>
    </row>
    <row r="19" spans="1:41" s="160" customFormat="1" ht="15.75" customHeight="1" x14ac:dyDescent="0.25">
      <c r="A19" s="123">
        <v>13</v>
      </c>
      <c r="B19" s="162" t="s">
        <v>19</v>
      </c>
      <c r="C19" s="162" t="s">
        <v>176</v>
      </c>
      <c r="D19" s="169" t="s">
        <v>33</v>
      </c>
      <c r="E19" s="162" t="s">
        <v>34</v>
      </c>
      <c r="F19" s="162"/>
      <c r="G19" s="163">
        <f t="shared" si="0"/>
        <v>333.33333333333331</v>
      </c>
      <c r="H19" s="163">
        <f t="shared" si="5"/>
        <v>5000</v>
      </c>
      <c r="I19" s="163">
        <v>10000</v>
      </c>
      <c r="J19" s="164">
        <v>15</v>
      </c>
      <c r="K19" s="164"/>
      <c r="L19" s="164"/>
      <c r="M19" s="164"/>
      <c r="N19" s="165"/>
      <c r="O19" s="165"/>
      <c r="P19" s="165"/>
      <c r="Q19" s="165"/>
      <c r="R19" s="166">
        <f t="shared" si="2"/>
        <v>3342.1</v>
      </c>
      <c r="S19" s="167">
        <v>1657.9</v>
      </c>
      <c r="T19" s="167">
        <f t="shared" si="3"/>
        <v>5000</v>
      </c>
      <c r="U19" s="162"/>
      <c r="V19" s="296">
        <f t="shared" si="4"/>
        <v>5000</v>
      </c>
      <c r="W19" s="296"/>
    </row>
    <row r="20" spans="1:41" s="160" customFormat="1" ht="15.75" customHeight="1" x14ac:dyDescent="0.25">
      <c r="A20" s="123">
        <v>14</v>
      </c>
      <c r="B20" s="162" t="s">
        <v>19</v>
      </c>
      <c r="C20" s="162" t="s">
        <v>176</v>
      </c>
      <c r="D20" s="169" t="s">
        <v>182</v>
      </c>
      <c r="E20" s="162" t="s">
        <v>183</v>
      </c>
      <c r="F20" s="162"/>
      <c r="G20" s="163">
        <f>H20/15</f>
        <v>266.66666666666669</v>
      </c>
      <c r="H20" s="163">
        <f t="shared" si="5"/>
        <v>4000</v>
      </c>
      <c r="I20" s="163">
        <v>8000</v>
      </c>
      <c r="J20" s="164">
        <v>15</v>
      </c>
      <c r="K20" s="164"/>
      <c r="L20" s="164"/>
      <c r="M20" s="164"/>
      <c r="N20" s="165"/>
      <c r="O20" s="165"/>
      <c r="P20" s="165"/>
      <c r="Q20" s="165"/>
      <c r="R20" s="166">
        <f t="shared" si="2"/>
        <v>4000.0000000000005</v>
      </c>
      <c r="S20" s="167"/>
      <c r="T20" s="167">
        <f t="shared" si="3"/>
        <v>4000.0000000000005</v>
      </c>
      <c r="U20" s="162"/>
      <c r="V20" s="296">
        <f t="shared" si="4"/>
        <v>4000.0000000000005</v>
      </c>
      <c r="W20" s="296"/>
      <c r="X20" s="316">
        <v>1</v>
      </c>
      <c r="Y20" s="316">
        <v>1</v>
      </c>
      <c r="Z20" s="316">
        <v>1</v>
      </c>
      <c r="AA20" s="316">
        <v>1</v>
      </c>
      <c r="AB20" s="317">
        <v>1</v>
      </c>
      <c r="AC20" s="316">
        <v>1</v>
      </c>
      <c r="AD20" s="316">
        <v>1</v>
      </c>
      <c r="AE20" s="316">
        <v>0</v>
      </c>
      <c r="AF20" s="316">
        <v>1</v>
      </c>
      <c r="AG20" s="317">
        <v>1</v>
      </c>
      <c r="AH20" s="316">
        <v>0</v>
      </c>
      <c r="AI20" s="316">
        <v>1</v>
      </c>
      <c r="AJ20" s="316">
        <v>0</v>
      </c>
      <c r="AK20" s="316">
        <v>0</v>
      </c>
      <c r="AL20" s="316">
        <v>0</v>
      </c>
      <c r="AM20" s="316">
        <v>1</v>
      </c>
      <c r="AN20" s="316">
        <v>1</v>
      </c>
      <c r="AO20" s="317"/>
    </row>
    <row r="21" spans="1:41" s="160" customFormat="1" ht="15.75" customHeight="1" x14ac:dyDescent="0.25">
      <c r="A21" s="123">
        <v>15</v>
      </c>
      <c r="B21" s="349" t="s">
        <v>19</v>
      </c>
      <c r="C21" s="349" t="s">
        <v>238</v>
      </c>
      <c r="D21" s="350" t="s">
        <v>239</v>
      </c>
      <c r="E21" s="349" t="s">
        <v>240</v>
      </c>
      <c r="F21" s="349" t="s">
        <v>271</v>
      </c>
      <c r="G21" s="351">
        <f t="shared" ref="G21" si="9">H21/15</f>
        <v>266.66666666666669</v>
      </c>
      <c r="H21" s="351">
        <f t="shared" si="5"/>
        <v>4000</v>
      </c>
      <c r="I21" s="351">
        <v>8000</v>
      </c>
      <c r="J21" s="352">
        <v>5</v>
      </c>
      <c r="K21" s="352"/>
      <c r="L21" s="352"/>
      <c r="M21" s="352"/>
      <c r="N21" s="353"/>
      <c r="O21" s="353"/>
      <c r="P21" s="353"/>
      <c r="Q21" s="353"/>
      <c r="R21" s="354">
        <f t="shared" ref="R21" si="10">T21-S21</f>
        <v>1333.3333333333335</v>
      </c>
      <c r="S21" s="355"/>
      <c r="T21" s="355">
        <f t="shared" ref="T21" si="11">(J21*G21)-(N21+O21+P21+Q21)</f>
        <v>1333.3333333333335</v>
      </c>
      <c r="U21" s="162"/>
      <c r="V21" s="296">
        <f t="shared" si="4"/>
        <v>1333.3333333333335</v>
      </c>
      <c r="W21" s="296"/>
    </row>
    <row r="22" spans="1:41" s="160" customFormat="1" ht="15.75" customHeight="1" x14ac:dyDescent="0.25">
      <c r="A22" s="123">
        <v>16</v>
      </c>
      <c r="B22" s="349" t="s">
        <v>19</v>
      </c>
      <c r="C22" s="349" t="s">
        <v>238</v>
      </c>
      <c r="D22" s="350" t="s">
        <v>241</v>
      </c>
      <c r="E22" s="349" t="s">
        <v>278</v>
      </c>
      <c r="F22" s="349"/>
      <c r="G22" s="351">
        <f t="shared" ref="G22:G24" si="12">H22/15</f>
        <v>200</v>
      </c>
      <c r="H22" s="351">
        <f t="shared" si="5"/>
        <v>3000</v>
      </c>
      <c r="I22" s="351">
        <v>6000</v>
      </c>
      <c r="J22" s="352">
        <v>4</v>
      </c>
      <c r="K22" s="352"/>
      <c r="L22" s="352"/>
      <c r="M22" s="352"/>
      <c r="N22" s="353"/>
      <c r="O22" s="353"/>
      <c r="P22" s="353"/>
      <c r="Q22" s="353"/>
      <c r="R22" s="354">
        <f t="shared" ref="R22:R23" si="13">T22-S22</f>
        <v>800</v>
      </c>
      <c r="S22" s="355"/>
      <c r="T22" s="355">
        <f t="shared" ref="T22:T23" si="14">(J22*G22)-(N22+O22+P22+Q22)</f>
        <v>800</v>
      </c>
      <c r="U22" s="162"/>
      <c r="V22" s="296">
        <f t="shared" si="4"/>
        <v>800</v>
      </c>
      <c r="W22" s="296"/>
    </row>
    <row r="23" spans="1:41" s="160" customFormat="1" ht="15.75" customHeight="1" x14ac:dyDescent="0.25">
      <c r="A23" s="123">
        <v>17</v>
      </c>
      <c r="B23" s="349" t="s">
        <v>19</v>
      </c>
      <c r="C23" s="349" t="s">
        <v>20</v>
      </c>
      <c r="D23" s="350" t="s">
        <v>267</v>
      </c>
      <c r="E23" s="349" t="s">
        <v>268</v>
      </c>
      <c r="F23" s="349" t="s">
        <v>271</v>
      </c>
      <c r="G23" s="351">
        <f t="shared" si="12"/>
        <v>100</v>
      </c>
      <c r="H23" s="351">
        <f t="shared" si="5"/>
        <v>1500</v>
      </c>
      <c r="I23" s="351">
        <v>3000</v>
      </c>
      <c r="J23" s="352">
        <v>5</v>
      </c>
      <c r="K23" s="352"/>
      <c r="L23" s="352"/>
      <c r="M23" s="352"/>
      <c r="N23" s="353"/>
      <c r="O23" s="353"/>
      <c r="P23" s="353"/>
      <c r="Q23" s="353"/>
      <c r="R23" s="354">
        <f t="shared" si="13"/>
        <v>500</v>
      </c>
      <c r="S23" s="355"/>
      <c r="T23" s="355">
        <f t="shared" si="14"/>
        <v>500</v>
      </c>
      <c r="U23" s="162"/>
      <c r="V23" s="296">
        <f t="shared" si="4"/>
        <v>500</v>
      </c>
      <c r="W23" s="296"/>
    </row>
    <row r="24" spans="1:41" s="160" customFormat="1" ht="15.75" customHeight="1" x14ac:dyDescent="0.25">
      <c r="A24" s="123">
        <v>18</v>
      </c>
      <c r="B24" s="349" t="s">
        <v>19</v>
      </c>
      <c r="C24" s="349" t="s">
        <v>20</v>
      </c>
      <c r="D24" s="350" t="s">
        <v>275</v>
      </c>
      <c r="E24" s="349" t="s">
        <v>276</v>
      </c>
      <c r="F24" s="349"/>
      <c r="G24" s="351">
        <f t="shared" si="12"/>
        <v>166.66666666666666</v>
      </c>
      <c r="H24" s="351">
        <f t="shared" si="5"/>
        <v>2500</v>
      </c>
      <c r="I24" s="351">
        <v>5000</v>
      </c>
      <c r="J24" s="352">
        <v>15</v>
      </c>
      <c r="K24" s="352"/>
      <c r="L24" s="352"/>
      <c r="M24" s="352"/>
      <c r="N24" s="353"/>
      <c r="O24" s="353"/>
      <c r="P24" s="353"/>
      <c r="Q24" s="353"/>
      <c r="R24" s="354" t="s">
        <v>277</v>
      </c>
      <c r="S24" s="355"/>
      <c r="T24" s="355" t="s">
        <v>277</v>
      </c>
      <c r="U24" s="162"/>
      <c r="V24" s="296">
        <f t="shared" si="4"/>
        <v>2500</v>
      </c>
      <c r="W24" s="296"/>
    </row>
    <row r="25" spans="1:41" s="261" customFormat="1" ht="15.75" customHeight="1" x14ac:dyDescent="0.25">
      <c r="A25" s="123">
        <v>19</v>
      </c>
      <c r="B25" s="356" t="s">
        <v>188</v>
      </c>
      <c r="C25" s="356" t="s">
        <v>20</v>
      </c>
      <c r="D25" s="356" t="s">
        <v>185</v>
      </c>
      <c r="E25" s="356" t="s">
        <v>52</v>
      </c>
      <c r="F25" s="356"/>
      <c r="G25" s="357">
        <f t="shared" si="0"/>
        <v>266.66666666666669</v>
      </c>
      <c r="H25" s="358">
        <f t="shared" ref="H25:H84" si="15">I25/2</f>
        <v>4000</v>
      </c>
      <c r="I25" s="357">
        <v>8000</v>
      </c>
      <c r="J25" s="359">
        <v>15</v>
      </c>
      <c r="K25" s="359"/>
      <c r="L25" s="359"/>
      <c r="M25" s="359"/>
      <c r="N25" s="360"/>
      <c r="O25" s="360"/>
      <c r="P25" s="360">
        <v>50</v>
      </c>
      <c r="Q25" s="360"/>
      <c r="R25" s="361">
        <f t="shared" si="2"/>
        <v>3950.0000000000005</v>
      </c>
      <c r="S25" s="362"/>
      <c r="T25" s="362">
        <f t="shared" si="3"/>
        <v>3950.0000000000005</v>
      </c>
      <c r="U25" s="254"/>
      <c r="V25" s="345">
        <f t="shared" si="4"/>
        <v>4000.0000000000005</v>
      </c>
      <c r="W25" s="345"/>
    </row>
    <row r="26" spans="1:41" s="261" customFormat="1" ht="15.75" customHeight="1" x14ac:dyDescent="0.25">
      <c r="A26" s="123">
        <v>20</v>
      </c>
      <c r="B26" s="356" t="s">
        <v>188</v>
      </c>
      <c r="C26" s="356" t="s">
        <v>187</v>
      </c>
      <c r="D26" s="356" t="s">
        <v>41</v>
      </c>
      <c r="E26" s="356" t="s">
        <v>42</v>
      </c>
      <c r="F26" s="356"/>
      <c r="G26" s="357">
        <f t="shared" si="0"/>
        <v>240</v>
      </c>
      <c r="H26" s="358">
        <f t="shared" si="15"/>
        <v>3600</v>
      </c>
      <c r="I26" s="357">
        <v>7200</v>
      </c>
      <c r="J26" s="359">
        <v>15</v>
      </c>
      <c r="K26" s="359"/>
      <c r="L26" s="359"/>
      <c r="M26" s="359"/>
      <c r="N26" s="360"/>
      <c r="O26" s="360"/>
      <c r="P26" s="360"/>
      <c r="Q26" s="360"/>
      <c r="R26" s="361">
        <f t="shared" si="2"/>
        <v>1942.1</v>
      </c>
      <c r="S26" s="362">
        <v>1657.9</v>
      </c>
      <c r="T26" s="362">
        <f t="shared" si="3"/>
        <v>3600</v>
      </c>
      <c r="U26" s="254"/>
      <c r="V26" s="345">
        <f t="shared" si="4"/>
        <v>3600</v>
      </c>
      <c r="W26" s="345"/>
    </row>
    <row r="27" spans="1:41" s="261" customFormat="1" ht="15.75" customHeight="1" x14ac:dyDescent="0.25">
      <c r="A27" s="123">
        <v>21</v>
      </c>
      <c r="B27" s="356" t="s">
        <v>188</v>
      </c>
      <c r="C27" s="356" t="s">
        <v>187</v>
      </c>
      <c r="D27" s="356" t="s">
        <v>41</v>
      </c>
      <c r="E27" s="356" t="s">
        <v>249</v>
      </c>
      <c r="F27" s="356"/>
      <c r="G27" s="357">
        <v>200</v>
      </c>
      <c r="H27" s="358">
        <v>3000</v>
      </c>
      <c r="I27" s="357">
        <v>6000</v>
      </c>
      <c r="J27" s="359">
        <v>15</v>
      </c>
      <c r="K27" s="359"/>
      <c r="L27" s="359"/>
      <c r="M27" s="359"/>
      <c r="N27" s="360"/>
      <c r="O27" s="360"/>
      <c r="P27" s="360"/>
      <c r="Q27" s="360"/>
      <c r="R27" s="361">
        <f t="shared" si="2"/>
        <v>2447.37</v>
      </c>
      <c r="S27" s="362">
        <v>552.63</v>
      </c>
      <c r="T27" s="362">
        <f t="shared" si="3"/>
        <v>3000</v>
      </c>
      <c r="U27" s="254"/>
      <c r="V27" s="345"/>
      <c r="W27" s="345"/>
    </row>
    <row r="28" spans="1:41" s="270" customFormat="1" ht="15.75" customHeight="1" x14ac:dyDescent="0.25">
      <c r="A28" s="123">
        <v>22</v>
      </c>
      <c r="B28" s="363" t="s">
        <v>45</v>
      </c>
      <c r="C28" s="363" t="s">
        <v>20</v>
      </c>
      <c r="D28" s="363" t="s">
        <v>185</v>
      </c>
      <c r="E28" s="363" t="s">
        <v>61</v>
      </c>
      <c r="F28" s="363"/>
      <c r="G28" s="364">
        <f t="shared" ref="G28" si="16">H28/15</f>
        <v>266.66666666666669</v>
      </c>
      <c r="H28" s="358">
        <f t="shared" si="15"/>
        <v>4000</v>
      </c>
      <c r="I28" s="364">
        <v>8000</v>
      </c>
      <c r="J28" s="365">
        <v>15</v>
      </c>
      <c r="K28" s="365"/>
      <c r="L28" s="365"/>
      <c r="M28" s="365"/>
      <c r="N28" s="366"/>
      <c r="O28" s="366">
        <v>200</v>
      </c>
      <c r="P28" s="366"/>
      <c r="Q28" s="366"/>
      <c r="R28" s="367">
        <f t="shared" ref="R28" si="17">T28-S28</f>
        <v>3800.0000000000005</v>
      </c>
      <c r="S28" s="368"/>
      <c r="T28" s="368">
        <f t="shared" ref="T28" si="18">(J28*G28)-(N28+O28+P28+Q28)</f>
        <v>3800.0000000000005</v>
      </c>
      <c r="U28" s="264"/>
      <c r="V28" s="348">
        <f t="shared" ref="V28" si="19">G28*J28</f>
        <v>4000.0000000000005</v>
      </c>
      <c r="W28" s="348"/>
    </row>
    <row r="29" spans="1:41" s="270" customFormat="1" ht="15.75" customHeight="1" x14ac:dyDescent="0.25">
      <c r="A29" s="123">
        <v>23</v>
      </c>
      <c r="B29" s="363" t="s">
        <v>45</v>
      </c>
      <c r="C29" s="363" t="s">
        <v>187</v>
      </c>
      <c r="D29" s="363" t="s">
        <v>41</v>
      </c>
      <c r="E29" s="363" t="s">
        <v>53</v>
      </c>
      <c r="F29" s="363"/>
      <c r="G29" s="364">
        <f t="shared" si="0"/>
        <v>266.66666666666669</v>
      </c>
      <c r="H29" s="358">
        <f t="shared" si="15"/>
        <v>4000</v>
      </c>
      <c r="I29" s="364">
        <v>8000</v>
      </c>
      <c r="J29" s="365">
        <v>14</v>
      </c>
      <c r="K29" s="365">
        <v>1</v>
      </c>
      <c r="L29" s="365"/>
      <c r="M29" s="365"/>
      <c r="N29" s="366"/>
      <c r="O29" s="366"/>
      <c r="P29" s="366"/>
      <c r="Q29" s="366"/>
      <c r="R29" s="367">
        <f t="shared" si="2"/>
        <v>2075.4333333333334</v>
      </c>
      <c r="S29" s="368">
        <v>1657.9</v>
      </c>
      <c r="T29" s="368">
        <f t="shared" si="3"/>
        <v>3733.3333333333335</v>
      </c>
      <c r="U29" s="264"/>
      <c r="V29" s="348">
        <f t="shared" si="4"/>
        <v>3733.3333333333335</v>
      </c>
      <c r="W29" s="348"/>
    </row>
    <row r="30" spans="1:41" s="270" customFormat="1" ht="15.75" customHeight="1" x14ac:dyDescent="0.25">
      <c r="A30" s="123">
        <v>24</v>
      </c>
      <c r="B30" s="363" t="s">
        <v>45</v>
      </c>
      <c r="C30" s="363" t="s">
        <v>20</v>
      </c>
      <c r="D30" s="363" t="s">
        <v>185</v>
      </c>
      <c r="E30" s="363" t="s">
        <v>250</v>
      </c>
      <c r="F30" s="363" t="s">
        <v>272</v>
      </c>
      <c r="G30" s="364">
        <v>266.67</v>
      </c>
      <c r="H30" s="358">
        <v>4000</v>
      </c>
      <c r="I30" s="364">
        <v>8000</v>
      </c>
      <c r="J30" s="365">
        <v>8</v>
      </c>
      <c r="K30" s="365"/>
      <c r="L30" s="365"/>
      <c r="M30" s="365"/>
      <c r="N30" s="366"/>
      <c r="O30" s="366"/>
      <c r="P30" s="366"/>
      <c r="Q30" s="366"/>
      <c r="R30" s="367">
        <f t="shared" si="2"/>
        <v>2133.36</v>
      </c>
      <c r="S30" s="368"/>
      <c r="T30" s="368">
        <f t="shared" si="3"/>
        <v>2133.36</v>
      </c>
      <c r="U30" s="264"/>
      <c r="V30" s="348"/>
      <c r="W30" s="348"/>
    </row>
    <row r="31" spans="1:41" s="270" customFormat="1" ht="15.75" customHeight="1" x14ac:dyDescent="0.25">
      <c r="A31" s="123">
        <v>25</v>
      </c>
      <c r="B31" s="363" t="s">
        <v>45</v>
      </c>
      <c r="C31" s="363" t="s">
        <v>79</v>
      </c>
      <c r="D31" s="363" t="s">
        <v>186</v>
      </c>
      <c r="E31" s="363" t="s">
        <v>132</v>
      </c>
      <c r="F31" s="363"/>
      <c r="G31" s="364">
        <f>H31/15</f>
        <v>200</v>
      </c>
      <c r="H31" s="358">
        <f>I31/2</f>
        <v>3000</v>
      </c>
      <c r="I31" s="364">
        <v>6000</v>
      </c>
      <c r="J31" s="365">
        <v>15</v>
      </c>
      <c r="K31" s="365"/>
      <c r="L31" s="365"/>
      <c r="M31" s="365"/>
      <c r="N31" s="366"/>
      <c r="O31" s="366"/>
      <c r="P31" s="366"/>
      <c r="Q31" s="366"/>
      <c r="R31" s="367">
        <f>T31-S31</f>
        <v>3000</v>
      </c>
      <c r="S31" s="368"/>
      <c r="T31" s="368">
        <f>(J31*G31)-(N31+O31+P31+Q31)</f>
        <v>3000</v>
      </c>
      <c r="U31" s="264"/>
      <c r="V31" s="348">
        <f>G31*J31</f>
        <v>3000</v>
      </c>
      <c r="W31" s="348"/>
    </row>
    <row r="32" spans="1:41" s="261" customFormat="1" ht="15.75" customHeight="1" x14ac:dyDescent="0.25">
      <c r="A32" s="123">
        <v>26</v>
      </c>
      <c r="B32" s="356" t="s">
        <v>54</v>
      </c>
      <c r="C32" s="356" t="s">
        <v>20</v>
      </c>
      <c r="D32" s="356" t="s">
        <v>185</v>
      </c>
      <c r="E32" s="356" t="s">
        <v>55</v>
      </c>
      <c r="F32" s="356"/>
      <c r="G32" s="357">
        <f>H32/15</f>
        <v>266.66666666666669</v>
      </c>
      <c r="H32" s="358">
        <f>I32/2</f>
        <v>4000</v>
      </c>
      <c r="I32" s="357">
        <v>8000</v>
      </c>
      <c r="J32" s="359">
        <v>15</v>
      </c>
      <c r="K32" s="359"/>
      <c r="L32" s="359"/>
      <c r="M32" s="359"/>
      <c r="N32" s="360"/>
      <c r="O32" s="360"/>
      <c r="P32" s="360">
        <v>50</v>
      </c>
      <c r="Q32" s="360"/>
      <c r="R32" s="361">
        <f>T32-S32</f>
        <v>2292.1000000000004</v>
      </c>
      <c r="S32" s="362">
        <v>1657.9</v>
      </c>
      <c r="T32" s="362">
        <f>(J32*G32)-(N32+O32+P32+Q32)</f>
        <v>3950.0000000000005</v>
      </c>
      <c r="U32" s="254"/>
      <c r="V32" s="345">
        <f>G32*J32</f>
        <v>4000.0000000000005</v>
      </c>
      <c r="W32" s="345"/>
    </row>
    <row r="33" spans="1:23" s="261" customFormat="1" ht="15.75" customHeight="1" x14ac:dyDescent="0.25">
      <c r="A33" s="123">
        <v>27</v>
      </c>
      <c r="B33" s="356" t="s">
        <v>54</v>
      </c>
      <c r="C33" s="356" t="s">
        <v>20</v>
      </c>
      <c r="D33" s="356" t="s">
        <v>185</v>
      </c>
      <c r="E33" s="356" t="s">
        <v>248</v>
      </c>
      <c r="F33" s="356" t="s">
        <v>270</v>
      </c>
      <c r="G33" s="357">
        <f t="shared" si="0"/>
        <v>166.66666666666666</v>
      </c>
      <c r="H33" s="358">
        <f t="shared" ref="H33" si="20">I33/2</f>
        <v>2500</v>
      </c>
      <c r="I33" s="357">
        <v>5000</v>
      </c>
      <c r="J33" s="359">
        <v>9</v>
      </c>
      <c r="K33" s="359">
        <v>1</v>
      </c>
      <c r="L33" s="359"/>
      <c r="M33" s="359"/>
      <c r="N33" s="360"/>
      <c r="O33" s="360"/>
      <c r="P33" s="360"/>
      <c r="Q33" s="360"/>
      <c r="R33" s="361">
        <f>T33-S33</f>
        <v>1500</v>
      </c>
      <c r="S33" s="362"/>
      <c r="T33" s="362">
        <f>(J33*G33)-(N33+O33+P33+Q33)</f>
        <v>1500</v>
      </c>
      <c r="U33" s="254"/>
      <c r="V33" s="345">
        <f>G33*J33</f>
        <v>1500</v>
      </c>
      <c r="W33" s="345"/>
    </row>
    <row r="34" spans="1:23" s="261" customFormat="1" ht="15.75" customHeight="1" x14ac:dyDescent="0.25">
      <c r="A34" s="123">
        <v>28</v>
      </c>
      <c r="B34" s="356" t="s">
        <v>54</v>
      </c>
      <c r="C34" s="356" t="s">
        <v>187</v>
      </c>
      <c r="D34" s="356" t="s">
        <v>41</v>
      </c>
      <c r="E34" s="369" t="s">
        <v>93</v>
      </c>
      <c r="F34" s="369"/>
      <c r="G34" s="357">
        <f>H34/15</f>
        <v>200</v>
      </c>
      <c r="H34" s="358">
        <f>I34/2</f>
        <v>3000</v>
      </c>
      <c r="I34" s="357">
        <v>6000</v>
      </c>
      <c r="J34" s="359">
        <v>15</v>
      </c>
      <c r="K34" s="359"/>
      <c r="L34" s="359"/>
      <c r="M34" s="359"/>
      <c r="N34" s="360"/>
      <c r="O34" s="360"/>
      <c r="P34" s="360">
        <v>250</v>
      </c>
      <c r="Q34" s="360"/>
      <c r="R34" s="361">
        <f>T34-S34</f>
        <v>2750</v>
      </c>
      <c r="S34" s="370"/>
      <c r="T34" s="362">
        <f>(J34*G34)-(N34+O34+P34+Q34)</f>
        <v>2750</v>
      </c>
      <c r="U34" s="254"/>
      <c r="V34" s="345">
        <f>G34*J34</f>
        <v>3000</v>
      </c>
      <c r="W34" s="345"/>
    </row>
    <row r="35" spans="1:23" s="261" customFormat="1" ht="15.75" customHeight="1" x14ac:dyDescent="0.25">
      <c r="A35" s="123">
        <v>29</v>
      </c>
      <c r="B35" s="356" t="s">
        <v>54</v>
      </c>
      <c r="C35" s="356" t="s">
        <v>187</v>
      </c>
      <c r="D35" s="356" t="s">
        <v>48</v>
      </c>
      <c r="E35" s="356" t="s">
        <v>58</v>
      </c>
      <c r="F35" s="356"/>
      <c r="G35" s="357">
        <f t="shared" si="0"/>
        <v>200</v>
      </c>
      <c r="H35" s="358">
        <f t="shared" si="15"/>
        <v>3000</v>
      </c>
      <c r="I35" s="357">
        <v>6000</v>
      </c>
      <c r="J35" s="359">
        <v>15</v>
      </c>
      <c r="K35" s="359"/>
      <c r="L35" s="359"/>
      <c r="M35" s="359"/>
      <c r="N35" s="360"/>
      <c r="O35" s="360"/>
      <c r="P35" s="360"/>
      <c r="Q35" s="360"/>
      <c r="R35" s="361">
        <f t="shared" si="2"/>
        <v>3000</v>
      </c>
      <c r="S35" s="362"/>
      <c r="T35" s="362">
        <f t="shared" si="3"/>
        <v>3000</v>
      </c>
      <c r="U35" s="254"/>
      <c r="V35" s="345">
        <f t="shared" si="4"/>
        <v>3000</v>
      </c>
      <c r="W35" s="345"/>
    </row>
    <row r="36" spans="1:23" s="270" customFormat="1" ht="15.75" customHeight="1" x14ac:dyDescent="0.25">
      <c r="A36" s="123">
        <v>30</v>
      </c>
      <c r="B36" s="363" t="s">
        <v>59</v>
      </c>
      <c r="C36" s="363" t="s">
        <v>20</v>
      </c>
      <c r="D36" s="363" t="s">
        <v>185</v>
      </c>
      <c r="E36" s="363" t="s">
        <v>198</v>
      </c>
      <c r="F36" s="363"/>
      <c r="G36" s="364">
        <f>H36/15</f>
        <v>266.66666666666669</v>
      </c>
      <c r="H36" s="358">
        <f>I36/2</f>
        <v>4000</v>
      </c>
      <c r="I36" s="364">
        <v>8000</v>
      </c>
      <c r="J36" s="365">
        <v>15</v>
      </c>
      <c r="K36" s="365"/>
      <c r="L36" s="365"/>
      <c r="M36" s="365"/>
      <c r="N36" s="366"/>
      <c r="O36" s="366"/>
      <c r="P36" s="366">
        <v>500</v>
      </c>
      <c r="Q36" s="366"/>
      <c r="R36" s="367">
        <f>T36-S36</f>
        <v>3500.0000000000005</v>
      </c>
      <c r="S36" s="368"/>
      <c r="T36" s="368">
        <f>(J36*G36)-(N36+O36+P36+Q36)</f>
        <v>3500.0000000000005</v>
      </c>
      <c r="U36" s="264"/>
      <c r="V36" s="348">
        <f>G36*J36</f>
        <v>4000.0000000000005</v>
      </c>
      <c r="W36" s="348"/>
    </row>
    <row r="37" spans="1:23" s="270" customFormat="1" ht="15.75" customHeight="1" x14ac:dyDescent="0.25">
      <c r="A37" s="123">
        <v>31</v>
      </c>
      <c r="B37" s="363" t="s">
        <v>59</v>
      </c>
      <c r="C37" s="363" t="s">
        <v>187</v>
      </c>
      <c r="D37" s="363" t="s">
        <v>48</v>
      </c>
      <c r="E37" s="363" t="s">
        <v>49</v>
      </c>
      <c r="F37" s="363"/>
      <c r="G37" s="364">
        <f t="shared" si="0"/>
        <v>200</v>
      </c>
      <c r="H37" s="358">
        <f t="shared" si="15"/>
        <v>3000</v>
      </c>
      <c r="I37" s="364">
        <v>6000</v>
      </c>
      <c r="J37" s="365">
        <v>15</v>
      </c>
      <c r="K37" s="365"/>
      <c r="L37" s="366">
        <v>250</v>
      </c>
      <c r="M37" s="366">
        <v>250</v>
      </c>
      <c r="N37" s="366">
        <f>565</f>
        <v>565</v>
      </c>
      <c r="O37" s="366">
        <v>50</v>
      </c>
      <c r="P37" s="366"/>
      <c r="Q37" s="366"/>
      <c r="R37" s="367">
        <f t="shared" si="2"/>
        <v>2885</v>
      </c>
      <c r="S37" s="368"/>
      <c r="T37" s="371">
        <f>(J37*G37+L37+M37)-(N37+O37+P37+Q37)</f>
        <v>2885</v>
      </c>
      <c r="U37" s="264"/>
      <c r="V37" s="348">
        <f t="shared" si="4"/>
        <v>3000</v>
      </c>
      <c r="W37" s="348"/>
    </row>
    <row r="38" spans="1:23" s="270" customFormat="1" ht="15.75" customHeight="1" x14ac:dyDescent="0.25">
      <c r="A38" s="123">
        <v>32</v>
      </c>
      <c r="B38" s="363" t="s">
        <v>59</v>
      </c>
      <c r="C38" s="363" t="s">
        <v>187</v>
      </c>
      <c r="D38" s="363" t="s">
        <v>186</v>
      </c>
      <c r="E38" s="372" t="s">
        <v>62</v>
      </c>
      <c r="F38" s="372"/>
      <c r="G38" s="364">
        <f t="shared" si="0"/>
        <v>200</v>
      </c>
      <c r="H38" s="358">
        <f t="shared" si="15"/>
        <v>3000</v>
      </c>
      <c r="I38" s="364">
        <v>6000</v>
      </c>
      <c r="J38" s="365">
        <v>14</v>
      </c>
      <c r="K38" s="365">
        <v>1</v>
      </c>
      <c r="L38" s="365"/>
      <c r="M38" s="365"/>
      <c r="N38" s="366"/>
      <c r="O38" s="366"/>
      <c r="P38" s="366"/>
      <c r="Q38" s="366"/>
      <c r="R38" s="367">
        <f t="shared" si="2"/>
        <v>2800</v>
      </c>
      <c r="S38" s="368"/>
      <c r="T38" s="368">
        <f t="shared" si="3"/>
        <v>2800</v>
      </c>
      <c r="U38" s="264"/>
      <c r="V38" s="348">
        <f t="shared" si="4"/>
        <v>2800</v>
      </c>
      <c r="W38" s="348"/>
    </row>
    <row r="39" spans="1:23" s="270" customFormat="1" ht="15.75" customHeight="1" x14ac:dyDescent="0.25">
      <c r="A39" s="123">
        <v>33</v>
      </c>
      <c r="B39" s="363" t="s">
        <v>59</v>
      </c>
      <c r="C39" s="363" t="s">
        <v>187</v>
      </c>
      <c r="D39" s="363" t="s">
        <v>41</v>
      </c>
      <c r="E39" s="363" t="s">
        <v>148</v>
      </c>
      <c r="F39" s="363"/>
      <c r="G39" s="364">
        <f>H39/15</f>
        <v>200</v>
      </c>
      <c r="H39" s="358">
        <f>I39/2</f>
        <v>3000</v>
      </c>
      <c r="I39" s="364">
        <v>6000</v>
      </c>
      <c r="J39" s="365">
        <v>14</v>
      </c>
      <c r="K39" s="365">
        <v>1</v>
      </c>
      <c r="L39" s="365"/>
      <c r="M39" s="365"/>
      <c r="N39" s="366"/>
      <c r="O39" s="366"/>
      <c r="P39" s="366"/>
      <c r="Q39" s="366"/>
      <c r="R39" s="367">
        <f>T39-S39</f>
        <v>2800</v>
      </c>
      <c r="S39" s="368"/>
      <c r="T39" s="368">
        <f>(J39*G39)-(N39+O39+P39+Q39)</f>
        <v>2800</v>
      </c>
      <c r="U39" s="264"/>
      <c r="V39" s="348">
        <f>G39*J39</f>
        <v>2800</v>
      </c>
      <c r="W39" s="348"/>
    </row>
    <row r="40" spans="1:23" s="270" customFormat="1" ht="15.75" customHeight="1" x14ac:dyDescent="0.25">
      <c r="A40" s="123">
        <v>34</v>
      </c>
      <c r="B40" s="363" t="s">
        <v>59</v>
      </c>
      <c r="C40" s="363" t="s">
        <v>187</v>
      </c>
      <c r="D40" s="363" t="s">
        <v>48</v>
      </c>
      <c r="E40" s="372" t="s">
        <v>63</v>
      </c>
      <c r="F40" s="372"/>
      <c r="G40" s="364">
        <f t="shared" si="0"/>
        <v>200</v>
      </c>
      <c r="H40" s="358">
        <f t="shared" si="15"/>
        <v>3000</v>
      </c>
      <c r="I40" s="364">
        <v>6000</v>
      </c>
      <c r="J40" s="365">
        <v>12</v>
      </c>
      <c r="K40" s="365">
        <v>3</v>
      </c>
      <c r="L40" s="365"/>
      <c r="M40" s="365"/>
      <c r="N40" s="366"/>
      <c r="O40" s="366">
        <v>50</v>
      </c>
      <c r="P40" s="366"/>
      <c r="Q40" s="366"/>
      <c r="R40" s="367">
        <f t="shared" si="2"/>
        <v>2350</v>
      </c>
      <c r="S40" s="368"/>
      <c r="T40" s="368">
        <f t="shared" si="3"/>
        <v>2350</v>
      </c>
      <c r="U40" s="264"/>
      <c r="V40" s="348">
        <f t="shared" si="4"/>
        <v>2400</v>
      </c>
      <c r="W40" s="348"/>
    </row>
    <row r="41" spans="1:23" s="261" customFormat="1" ht="15.75" customHeight="1" x14ac:dyDescent="0.25">
      <c r="A41" s="123">
        <v>35</v>
      </c>
      <c r="B41" s="356" t="s">
        <v>64</v>
      </c>
      <c r="C41" s="356" t="s">
        <v>40</v>
      </c>
      <c r="D41" s="356" t="s">
        <v>41</v>
      </c>
      <c r="E41" s="356" t="s">
        <v>76</v>
      </c>
      <c r="F41" s="356"/>
      <c r="G41" s="357">
        <f t="shared" si="0"/>
        <v>200</v>
      </c>
      <c r="H41" s="358">
        <f t="shared" si="15"/>
        <v>3000</v>
      </c>
      <c r="I41" s="357">
        <v>6000</v>
      </c>
      <c r="J41" s="359">
        <v>14</v>
      </c>
      <c r="K41" s="359">
        <v>1</v>
      </c>
      <c r="L41" s="359"/>
      <c r="M41" s="359"/>
      <c r="N41" s="360"/>
      <c r="O41" s="360"/>
      <c r="P41" s="360"/>
      <c r="Q41" s="360"/>
      <c r="R41" s="361">
        <f t="shared" si="2"/>
        <v>2800</v>
      </c>
      <c r="S41" s="362"/>
      <c r="T41" s="362">
        <f t="shared" si="3"/>
        <v>2800</v>
      </c>
      <c r="U41" s="254"/>
      <c r="V41" s="345">
        <f t="shared" si="4"/>
        <v>2800</v>
      </c>
      <c r="W41" s="345"/>
    </row>
    <row r="42" spans="1:23" s="261" customFormat="1" ht="15.75" customHeight="1" x14ac:dyDescent="0.25">
      <c r="A42" s="123">
        <v>36</v>
      </c>
      <c r="B42" s="356" t="s">
        <v>64</v>
      </c>
      <c r="C42" s="356" t="s">
        <v>40</v>
      </c>
      <c r="D42" s="356" t="s">
        <v>74</v>
      </c>
      <c r="E42" s="356" t="s">
        <v>138</v>
      </c>
      <c r="F42" s="356" t="s">
        <v>273</v>
      </c>
      <c r="G42" s="357">
        <f t="shared" ref="G42" si="21">H42/15</f>
        <v>200</v>
      </c>
      <c r="H42" s="358">
        <f t="shared" si="15"/>
        <v>3000</v>
      </c>
      <c r="I42" s="357">
        <v>6000</v>
      </c>
      <c r="J42" s="359">
        <v>6</v>
      </c>
      <c r="K42" s="359"/>
      <c r="L42" s="360"/>
      <c r="M42" s="360">
        <v>250</v>
      </c>
      <c r="N42" s="360"/>
      <c r="O42" s="360"/>
      <c r="P42" s="360"/>
      <c r="Q42" s="360"/>
      <c r="R42" s="361">
        <f>T42-S42</f>
        <v>1450</v>
      </c>
      <c r="S42" s="362"/>
      <c r="T42" s="362">
        <f>(J42*G42+L42+M42)-(N42+O42+P42+Q42)</f>
        <v>1450</v>
      </c>
      <c r="U42" s="254"/>
      <c r="V42" s="345">
        <f t="shared" ref="V42" si="22">G42*J42</f>
        <v>1200</v>
      </c>
      <c r="W42" s="345"/>
    </row>
    <row r="43" spans="1:23" s="261" customFormat="1" ht="15.75" customHeight="1" x14ac:dyDescent="0.25">
      <c r="A43" s="123">
        <v>37</v>
      </c>
      <c r="B43" s="356" t="s">
        <v>64</v>
      </c>
      <c r="C43" s="356" t="s">
        <v>40</v>
      </c>
      <c r="D43" s="356" t="s">
        <v>185</v>
      </c>
      <c r="E43" s="356" t="s">
        <v>71</v>
      </c>
      <c r="F43" s="356"/>
      <c r="G43" s="357">
        <f t="shared" si="0"/>
        <v>266.66666666666669</v>
      </c>
      <c r="H43" s="358">
        <f t="shared" si="15"/>
        <v>4000</v>
      </c>
      <c r="I43" s="357">
        <v>8000</v>
      </c>
      <c r="J43" s="359">
        <v>15</v>
      </c>
      <c r="K43" s="359"/>
      <c r="L43" s="359"/>
      <c r="M43" s="359"/>
      <c r="N43" s="360"/>
      <c r="O43" s="360"/>
      <c r="P43" s="360"/>
      <c r="Q43" s="360"/>
      <c r="R43" s="361">
        <f t="shared" si="2"/>
        <v>4000.0000000000005</v>
      </c>
      <c r="S43" s="362"/>
      <c r="T43" s="362">
        <f t="shared" si="3"/>
        <v>4000.0000000000005</v>
      </c>
      <c r="U43" s="254"/>
      <c r="V43" s="345">
        <f t="shared" si="4"/>
        <v>4000.0000000000005</v>
      </c>
      <c r="W43" s="345"/>
    </row>
    <row r="44" spans="1:23" s="270" customFormat="1" ht="15.75" customHeight="1" x14ac:dyDescent="0.25">
      <c r="A44" s="123">
        <v>38</v>
      </c>
      <c r="B44" s="363" t="s">
        <v>72</v>
      </c>
      <c r="C44" s="363" t="s">
        <v>20</v>
      </c>
      <c r="D44" s="363" t="s">
        <v>185</v>
      </c>
      <c r="E44" s="363" t="s">
        <v>124</v>
      </c>
      <c r="F44" s="363"/>
      <c r="G44" s="364">
        <f t="shared" si="0"/>
        <v>333.33333333333331</v>
      </c>
      <c r="H44" s="358">
        <f t="shared" si="15"/>
        <v>5000</v>
      </c>
      <c r="I44" s="364">
        <v>10000</v>
      </c>
      <c r="J44" s="365">
        <v>15</v>
      </c>
      <c r="K44" s="365"/>
      <c r="L44" s="365"/>
      <c r="M44" s="365"/>
      <c r="N44" s="366"/>
      <c r="O44" s="366"/>
      <c r="P44" s="366">
        <v>100</v>
      </c>
      <c r="Q44" s="366"/>
      <c r="R44" s="367">
        <f t="shared" si="2"/>
        <v>4900</v>
      </c>
      <c r="S44" s="368"/>
      <c r="T44" s="368">
        <f t="shared" si="3"/>
        <v>4900</v>
      </c>
      <c r="U44" s="264"/>
      <c r="V44" s="348">
        <f t="shared" si="4"/>
        <v>5000</v>
      </c>
      <c r="W44" s="348"/>
    </row>
    <row r="45" spans="1:23" s="270" customFormat="1" ht="15.75" customHeight="1" x14ac:dyDescent="0.25">
      <c r="A45" s="123">
        <v>39</v>
      </c>
      <c r="B45" s="363" t="s">
        <v>72</v>
      </c>
      <c r="C45" s="363" t="s">
        <v>187</v>
      </c>
      <c r="D45" s="363" t="s">
        <v>41</v>
      </c>
      <c r="E45" s="363" t="s">
        <v>135</v>
      </c>
      <c r="F45" s="363"/>
      <c r="G45" s="364">
        <f t="shared" si="0"/>
        <v>233.33333333333334</v>
      </c>
      <c r="H45" s="358">
        <f t="shared" si="15"/>
        <v>3500</v>
      </c>
      <c r="I45" s="364">
        <v>7000</v>
      </c>
      <c r="J45" s="365">
        <v>15</v>
      </c>
      <c r="K45" s="365"/>
      <c r="L45" s="365"/>
      <c r="M45" s="365"/>
      <c r="N45" s="366"/>
      <c r="O45" s="366"/>
      <c r="P45" s="366"/>
      <c r="Q45" s="366"/>
      <c r="R45" s="367">
        <f t="shared" si="2"/>
        <v>3500</v>
      </c>
      <c r="S45" s="368"/>
      <c r="T45" s="368">
        <f t="shared" si="3"/>
        <v>3500</v>
      </c>
      <c r="U45" s="264"/>
      <c r="V45" s="348">
        <f t="shared" si="4"/>
        <v>3500</v>
      </c>
      <c r="W45" s="348"/>
    </row>
    <row r="46" spans="1:23" s="270" customFormat="1" ht="15.75" customHeight="1" x14ac:dyDescent="0.25">
      <c r="A46" s="123">
        <v>40</v>
      </c>
      <c r="B46" s="363" t="s">
        <v>72</v>
      </c>
      <c r="C46" s="363" t="s">
        <v>20</v>
      </c>
      <c r="D46" s="363" t="s">
        <v>51</v>
      </c>
      <c r="E46" s="363" t="s">
        <v>104</v>
      </c>
      <c r="F46" s="363"/>
      <c r="G46" s="364">
        <f t="shared" si="0"/>
        <v>200</v>
      </c>
      <c r="H46" s="358">
        <f t="shared" si="15"/>
        <v>3000</v>
      </c>
      <c r="I46" s="364">
        <v>6000</v>
      </c>
      <c r="J46" s="365">
        <v>14</v>
      </c>
      <c r="K46" s="365">
        <v>1</v>
      </c>
      <c r="L46" s="365"/>
      <c r="M46" s="365"/>
      <c r="N46" s="366">
        <v>1000</v>
      </c>
      <c r="O46" s="366"/>
      <c r="P46" s="366"/>
      <c r="Q46" s="366"/>
      <c r="R46" s="367">
        <f t="shared" si="2"/>
        <v>1800</v>
      </c>
      <c r="S46" s="368"/>
      <c r="T46" s="368">
        <f t="shared" si="3"/>
        <v>1800</v>
      </c>
      <c r="U46" s="264"/>
      <c r="V46" s="348">
        <f t="shared" si="4"/>
        <v>2800</v>
      </c>
      <c r="W46" s="348"/>
    </row>
    <row r="47" spans="1:23" s="270" customFormat="1" ht="15.75" customHeight="1" x14ac:dyDescent="0.25">
      <c r="A47" s="123">
        <v>41</v>
      </c>
      <c r="B47" s="363" t="s">
        <v>72</v>
      </c>
      <c r="C47" s="363" t="s">
        <v>187</v>
      </c>
      <c r="D47" s="363" t="s">
        <v>41</v>
      </c>
      <c r="E47" s="363" t="s">
        <v>57</v>
      </c>
      <c r="F47" s="363"/>
      <c r="G47" s="364">
        <f>H47/15</f>
        <v>166.66666666666666</v>
      </c>
      <c r="H47" s="358">
        <f>I47/2</f>
        <v>2500</v>
      </c>
      <c r="I47" s="364">
        <v>5000</v>
      </c>
      <c r="J47" s="365">
        <v>15</v>
      </c>
      <c r="K47" s="365"/>
      <c r="L47" s="365"/>
      <c r="M47" s="365"/>
      <c r="N47" s="366"/>
      <c r="O47" s="366"/>
      <c r="P47" s="366"/>
      <c r="Q47" s="366"/>
      <c r="R47" s="367">
        <f>T47-S47</f>
        <v>2500</v>
      </c>
      <c r="S47" s="368"/>
      <c r="T47" s="368">
        <f>(J47*G47)-(N47+O47+P47+Q47)</f>
        <v>2500</v>
      </c>
      <c r="U47" s="264"/>
      <c r="V47" s="348">
        <f>G47*J47</f>
        <v>2500</v>
      </c>
      <c r="W47" s="348"/>
    </row>
    <row r="48" spans="1:23" s="270" customFormat="1" ht="15.75" customHeight="1" x14ac:dyDescent="0.25">
      <c r="A48" s="123">
        <v>42</v>
      </c>
      <c r="B48" s="363" t="s">
        <v>72</v>
      </c>
      <c r="C48" s="363" t="s">
        <v>187</v>
      </c>
      <c r="D48" s="363" t="s">
        <v>48</v>
      </c>
      <c r="E48" s="363" t="s">
        <v>78</v>
      </c>
      <c r="F48" s="363"/>
      <c r="G48" s="364">
        <f t="shared" si="0"/>
        <v>200</v>
      </c>
      <c r="H48" s="358">
        <f t="shared" si="15"/>
        <v>3000</v>
      </c>
      <c r="I48" s="364">
        <v>6000</v>
      </c>
      <c r="J48" s="365">
        <v>15</v>
      </c>
      <c r="K48" s="365"/>
      <c r="L48" s="365"/>
      <c r="M48" s="365"/>
      <c r="N48" s="366"/>
      <c r="O48" s="366"/>
      <c r="P48" s="366"/>
      <c r="Q48" s="366"/>
      <c r="R48" s="367">
        <f t="shared" si="2"/>
        <v>3000</v>
      </c>
      <c r="S48" s="368"/>
      <c r="T48" s="368">
        <f t="shared" si="3"/>
        <v>3000</v>
      </c>
      <c r="U48" s="264"/>
      <c r="V48" s="348">
        <f t="shared" si="4"/>
        <v>3000</v>
      </c>
      <c r="W48" s="348"/>
    </row>
    <row r="49" spans="1:42" s="270" customFormat="1" ht="15.75" customHeight="1" x14ac:dyDescent="0.25">
      <c r="A49" s="123">
        <v>43</v>
      </c>
      <c r="B49" s="363" t="s">
        <v>72</v>
      </c>
      <c r="C49" s="363" t="s">
        <v>245</v>
      </c>
      <c r="D49" s="363" t="s">
        <v>244</v>
      </c>
      <c r="E49" s="363" t="s">
        <v>246</v>
      </c>
      <c r="F49" s="363" t="s">
        <v>273</v>
      </c>
      <c r="G49" s="364">
        <v>166.67</v>
      </c>
      <c r="H49" s="358">
        <v>2500</v>
      </c>
      <c r="I49" s="364">
        <v>5000</v>
      </c>
      <c r="J49" s="365">
        <v>7</v>
      </c>
      <c r="K49" s="365"/>
      <c r="L49" s="365"/>
      <c r="M49" s="365"/>
      <c r="N49" s="366"/>
      <c r="O49" s="366"/>
      <c r="P49" s="366"/>
      <c r="Q49" s="366"/>
      <c r="R49" s="367">
        <f t="shared" si="2"/>
        <v>1166.6899999999998</v>
      </c>
      <c r="S49" s="368"/>
      <c r="T49" s="368">
        <f t="shared" si="3"/>
        <v>1166.6899999999998</v>
      </c>
      <c r="U49" s="264"/>
      <c r="V49" s="348"/>
      <c r="W49" s="348"/>
    </row>
    <row r="50" spans="1:42" s="270" customFormat="1" ht="15.75" customHeight="1" x14ac:dyDescent="0.25">
      <c r="A50" s="123">
        <v>44</v>
      </c>
      <c r="B50" s="363" t="s">
        <v>72</v>
      </c>
      <c r="C50" s="363" t="s">
        <v>121</v>
      </c>
      <c r="D50" s="363" t="s">
        <v>80</v>
      </c>
      <c r="E50" s="363" t="s">
        <v>81</v>
      </c>
      <c r="F50" s="363"/>
      <c r="G50" s="364">
        <f t="shared" si="0"/>
        <v>233.33333333333334</v>
      </c>
      <c r="H50" s="358">
        <f t="shared" si="15"/>
        <v>3500</v>
      </c>
      <c r="I50" s="364">
        <v>7000</v>
      </c>
      <c r="J50" s="365">
        <v>15</v>
      </c>
      <c r="K50" s="365"/>
      <c r="L50" s="365"/>
      <c r="M50" s="365"/>
      <c r="N50" s="366"/>
      <c r="O50" s="366"/>
      <c r="P50" s="366"/>
      <c r="Q50" s="366"/>
      <c r="R50" s="367">
        <f t="shared" si="2"/>
        <v>3500</v>
      </c>
      <c r="S50" s="368"/>
      <c r="T50" s="368">
        <f t="shared" si="3"/>
        <v>3500</v>
      </c>
      <c r="U50" s="264"/>
      <c r="V50" s="348">
        <f t="shared" si="4"/>
        <v>3500</v>
      </c>
      <c r="W50" s="348"/>
    </row>
    <row r="51" spans="1:42" s="270" customFormat="1" ht="15.75" customHeight="1" x14ac:dyDescent="0.25">
      <c r="A51" s="123">
        <v>45</v>
      </c>
      <c r="B51" s="363" t="s">
        <v>72</v>
      </c>
      <c r="C51" s="363" t="s">
        <v>40</v>
      </c>
      <c r="D51" s="363" t="s">
        <v>41</v>
      </c>
      <c r="E51" s="363" t="s">
        <v>115</v>
      </c>
      <c r="F51" s="363"/>
      <c r="G51" s="364">
        <f>H51/15</f>
        <v>200</v>
      </c>
      <c r="H51" s="358">
        <f>I51/2</f>
        <v>3000</v>
      </c>
      <c r="I51" s="364">
        <v>6000</v>
      </c>
      <c r="J51" s="365">
        <v>15</v>
      </c>
      <c r="K51" s="365"/>
      <c r="L51" s="366"/>
      <c r="M51" s="366"/>
      <c r="N51" s="366"/>
      <c r="O51" s="366"/>
      <c r="P51" s="366"/>
      <c r="Q51" s="366"/>
      <c r="R51" s="367">
        <f>T51-S51</f>
        <v>3000</v>
      </c>
      <c r="S51" s="368"/>
      <c r="T51" s="368">
        <f>(J51*G51+L51+M51)-(N51+O51+P51+Q51)</f>
        <v>3000</v>
      </c>
      <c r="U51" s="264"/>
      <c r="V51" s="348">
        <f>G51*J51</f>
        <v>3000</v>
      </c>
      <c r="W51" s="348"/>
    </row>
    <row r="52" spans="1:42" s="261" customFormat="1" ht="15.75" customHeight="1" x14ac:dyDescent="0.25">
      <c r="A52" s="123">
        <v>46</v>
      </c>
      <c r="B52" s="356" t="s">
        <v>82</v>
      </c>
      <c r="C52" s="356" t="s">
        <v>187</v>
      </c>
      <c r="D52" s="356" t="s">
        <v>193</v>
      </c>
      <c r="E52" s="356" t="s">
        <v>86</v>
      </c>
      <c r="F52" s="356"/>
      <c r="G52" s="357">
        <f t="shared" si="0"/>
        <v>200</v>
      </c>
      <c r="H52" s="358">
        <f t="shared" si="15"/>
        <v>3000</v>
      </c>
      <c r="I52" s="357">
        <v>6000</v>
      </c>
      <c r="J52" s="359">
        <v>15</v>
      </c>
      <c r="K52" s="359"/>
      <c r="L52" s="359"/>
      <c r="M52" s="360">
        <v>250</v>
      </c>
      <c r="N52" s="360"/>
      <c r="O52" s="360"/>
      <c r="P52" s="360"/>
      <c r="Q52" s="360"/>
      <c r="R52" s="361">
        <f t="shared" si="2"/>
        <v>3250</v>
      </c>
      <c r="S52" s="362"/>
      <c r="T52" s="362">
        <f>(J52*G52+M52)-(N52+O52+P52+Q52)</f>
        <v>3250</v>
      </c>
      <c r="U52" s="254"/>
      <c r="V52" s="345">
        <f t="shared" si="4"/>
        <v>3000</v>
      </c>
      <c r="W52" s="345"/>
    </row>
    <row r="53" spans="1:42" s="261" customFormat="1" ht="15.75" customHeight="1" x14ac:dyDescent="0.25">
      <c r="A53" s="123">
        <v>47</v>
      </c>
      <c r="B53" s="356" t="s">
        <v>82</v>
      </c>
      <c r="C53" s="356" t="s">
        <v>65</v>
      </c>
      <c r="D53" s="356" t="s">
        <v>66</v>
      </c>
      <c r="E53" s="356" t="s">
        <v>265</v>
      </c>
      <c r="F53" s="356" t="s">
        <v>270</v>
      </c>
      <c r="G53" s="357">
        <f t="shared" ref="G53" si="23">H53/15</f>
        <v>166.66666666666666</v>
      </c>
      <c r="H53" s="358">
        <f t="shared" ref="H53" si="24">I53/2</f>
        <v>2500</v>
      </c>
      <c r="I53" s="357">
        <v>5000</v>
      </c>
      <c r="J53" s="359">
        <v>10</v>
      </c>
      <c r="K53" s="359"/>
      <c r="L53" s="359"/>
      <c r="M53" s="359"/>
      <c r="N53" s="360"/>
      <c r="O53" s="360"/>
      <c r="P53" s="360"/>
      <c r="Q53" s="360"/>
      <c r="R53" s="361">
        <f t="shared" si="2"/>
        <v>1666.6666666666665</v>
      </c>
      <c r="S53" s="362"/>
      <c r="T53" s="362">
        <f>(J53*G53+M53)-(N53+O53+P53+Q53)</f>
        <v>1666.6666666666665</v>
      </c>
      <c r="U53" s="254"/>
      <c r="V53" s="345"/>
      <c r="W53" s="345"/>
    </row>
    <row r="54" spans="1:42" s="261" customFormat="1" ht="15.75" customHeight="1" x14ac:dyDescent="0.25">
      <c r="A54" s="123">
        <v>48</v>
      </c>
      <c r="B54" s="356" t="s">
        <v>82</v>
      </c>
      <c r="C54" s="356" t="s">
        <v>65</v>
      </c>
      <c r="D54" s="356" t="s">
        <v>66</v>
      </c>
      <c r="E54" s="356" t="s">
        <v>201</v>
      </c>
      <c r="F54" s="356"/>
      <c r="G54" s="357">
        <f t="shared" si="0"/>
        <v>166.66666666666666</v>
      </c>
      <c r="H54" s="358">
        <f t="shared" si="15"/>
        <v>2500</v>
      </c>
      <c r="I54" s="357">
        <v>5000</v>
      </c>
      <c r="J54" s="359">
        <v>15</v>
      </c>
      <c r="K54" s="359"/>
      <c r="L54" s="359"/>
      <c r="M54" s="359"/>
      <c r="N54" s="360"/>
      <c r="O54" s="360"/>
      <c r="P54" s="360"/>
      <c r="Q54" s="360"/>
      <c r="R54" s="361">
        <f t="shared" si="2"/>
        <v>2500</v>
      </c>
      <c r="S54" s="362"/>
      <c r="T54" s="362">
        <f t="shared" si="3"/>
        <v>2500</v>
      </c>
      <c r="U54" s="254"/>
      <c r="V54" s="345">
        <f t="shared" si="4"/>
        <v>2500</v>
      </c>
      <c r="W54" s="345"/>
    </row>
    <row r="55" spans="1:42" s="270" customFormat="1" ht="15.75" customHeight="1" x14ac:dyDescent="0.25">
      <c r="A55" s="123">
        <v>49</v>
      </c>
      <c r="B55" s="363" t="s">
        <v>88</v>
      </c>
      <c r="C55" s="363" t="s">
        <v>20</v>
      </c>
      <c r="D55" s="363" t="s">
        <v>185</v>
      </c>
      <c r="E55" s="363" t="s">
        <v>91</v>
      </c>
      <c r="F55" s="363"/>
      <c r="G55" s="364">
        <f t="shared" si="0"/>
        <v>333.33333333333331</v>
      </c>
      <c r="H55" s="358">
        <f t="shared" si="15"/>
        <v>5000</v>
      </c>
      <c r="I55" s="364">
        <v>10000</v>
      </c>
      <c r="J55" s="365">
        <v>15</v>
      </c>
      <c r="K55" s="365"/>
      <c r="L55" s="365"/>
      <c r="M55" s="365"/>
      <c r="N55" s="366"/>
      <c r="O55" s="366"/>
      <c r="P55" s="366"/>
      <c r="Q55" s="366"/>
      <c r="R55" s="367">
        <f t="shared" si="2"/>
        <v>5000</v>
      </c>
      <c r="S55" s="368"/>
      <c r="T55" s="368">
        <f t="shared" si="3"/>
        <v>5000</v>
      </c>
      <c r="U55" s="264"/>
      <c r="V55" s="348">
        <f t="shared" si="4"/>
        <v>5000</v>
      </c>
      <c r="W55" s="348"/>
    </row>
    <row r="56" spans="1:42" s="270" customFormat="1" ht="15.75" customHeight="1" x14ac:dyDescent="0.25">
      <c r="A56" s="123">
        <v>50</v>
      </c>
      <c r="B56" s="363" t="s">
        <v>88</v>
      </c>
      <c r="C56" s="363" t="s">
        <v>20</v>
      </c>
      <c r="D56" s="363" t="s">
        <v>51</v>
      </c>
      <c r="E56" s="363" t="s">
        <v>114</v>
      </c>
      <c r="F56" s="363"/>
      <c r="G56" s="364">
        <f t="shared" si="0"/>
        <v>166.66666666666666</v>
      </c>
      <c r="H56" s="358">
        <f t="shared" si="15"/>
        <v>2500</v>
      </c>
      <c r="I56" s="364">
        <v>5000</v>
      </c>
      <c r="J56" s="365">
        <v>15</v>
      </c>
      <c r="K56" s="365"/>
      <c r="L56" s="365"/>
      <c r="M56" s="365"/>
      <c r="N56" s="366"/>
      <c r="O56" s="366"/>
      <c r="P56" s="366"/>
      <c r="Q56" s="366"/>
      <c r="R56" s="367">
        <f t="shared" si="2"/>
        <v>2500</v>
      </c>
      <c r="S56" s="368"/>
      <c r="T56" s="368">
        <f t="shared" si="3"/>
        <v>2500</v>
      </c>
      <c r="U56" s="264"/>
      <c r="V56" s="348">
        <f t="shared" si="4"/>
        <v>2500</v>
      </c>
      <c r="W56" s="348"/>
    </row>
    <row r="57" spans="1:42" s="270" customFormat="1" ht="15.75" customHeight="1" x14ac:dyDescent="0.25">
      <c r="A57" s="123">
        <v>51</v>
      </c>
      <c r="B57" s="363" t="s">
        <v>88</v>
      </c>
      <c r="C57" s="363" t="s">
        <v>65</v>
      </c>
      <c r="D57" s="363" t="s">
        <v>41</v>
      </c>
      <c r="E57" s="363" t="s">
        <v>127</v>
      </c>
      <c r="F57" s="363"/>
      <c r="G57" s="364">
        <f>H57/15</f>
        <v>166.66666666666666</v>
      </c>
      <c r="H57" s="358">
        <f>I57/2</f>
        <v>2500</v>
      </c>
      <c r="I57" s="364">
        <v>5000</v>
      </c>
      <c r="J57" s="365">
        <v>15</v>
      </c>
      <c r="K57" s="365"/>
      <c r="L57" s="365"/>
      <c r="M57" s="365"/>
      <c r="N57" s="366"/>
      <c r="O57" s="366"/>
      <c r="P57" s="366"/>
      <c r="Q57" s="366"/>
      <c r="R57" s="367">
        <f>T57-S57</f>
        <v>2500</v>
      </c>
      <c r="S57" s="368"/>
      <c r="T57" s="368">
        <f>(J57*G57)-(N57+O57+P57+Q57)</f>
        <v>2500</v>
      </c>
      <c r="U57" s="264"/>
      <c r="V57" s="348">
        <f>G57*J57</f>
        <v>2500</v>
      </c>
      <c r="W57" s="348"/>
    </row>
    <row r="58" spans="1:42" s="270" customFormat="1" ht="15.75" customHeight="1" x14ac:dyDescent="0.25">
      <c r="A58" s="123">
        <v>52</v>
      </c>
      <c r="B58" s="363" t="s">
        <v>88</v>
      </c>
      <c r="C58" s="363" t="s">
        <v>187</v>
      </c>
      <c r="D58" s="363" t="s">
        <v>94</v>
      </c>
      <c r="E58" s="363" t="s">
        <v>95</v>
      </c>
      <c r="F58" s="363"/>
      <c r="G58" s="364">
        <f t="shared" si="0"/>
        <v>233.33333333333334</v>
      </c>
      <c r="H58" s="358">
        <f t="shared" si="15"/>
        <v>3500</v>
      </c>
      <c r="I58" s="364">
        <v>7000</v>
      </c>
      <c r="J58" s="365">
        <v>14</v>
      </c>
      <c r="K58" s="365">
        <v>1</v>
      </c>
      <c r="L58" s="365"/>
      <c r="M58" s="365"/>
      <c r="N58" s="366">
        <v>800</v>
      </c>
      <c r="O58" s="366"/>
      <c r="P58" s="366"/>
      <c r="Q58" s="366"/>
      <c r="R58" s="367">
        <f t="shared" si="2"/>
        <v>2466.666666666667</v>
      </c>
      <c r="S58" s="373"/>
      <c r="T58" s="368">
        <f t="shared" si="3"/>
        <v>2466.666666666667</v>
      </c>
      <c r="U58" s="264"/>
      <c r="V58" s="348">
        <f t="shared" si="4"/>
        <v>3266.666666666667</v>
      </c>
      <c r="W58" s="348"/>
    </row>
    <row r="59" spans="1:42" s="261" customFormat="1" ht="15.75" customHeight="1" x14ac:dyDescent="0.25">
      <c r="A59" s="123">
        <v>53</v>
      </c>
      <c r="B59" s="356" t="s">
        <v>97</v>
      </c>
      <c r="C59" s="356" t="s">
        <v>20</v>
      </c>
      <c r="D59" s="356" t="s">
        <v>185</v>
      </c>
      <c r="E59" s="356" t="s">
        <v>98</v>
      </c>
      <c r="F59" s="356"/>
      <c r="G59" s="357">
        <f t="shared" si="0"/>
        <v>266.66666666666669</v>
      </c>
      <c r="H59" s="358">
        <f t="shared" si="15"/>
        <v>4000</v>
      </c>
      <c r="I59" s="357">
        <v>8000</v>
      </c>
      <c r="J59" s="359">
        <v>15</v>
      </c>
      <c r="K59" s="359"/>
      <c r="L59" s="359"/>
      <c r="M59" s="359"/>
      <c r="N59" s="360"/>
      <c r="O59" s="360">
        <v>466.67</v>
      </c>
      <c r="P59" s="360">
        <v>100</v>
      </c>
      <c r="Q59" s="360"/>
      <c r="R59" s="361">
        <f t="shared" si="2"/>
        <v>3433.3300000000004</v>
      </c>
      <c r="S59" s="362"/>
      <c r="T59" s="362">
        <f t="shared" si="3"/>
        <v>3433.3300000000004</v>
      </c>
      <c r="U59" s="254"/>
      <c r="V59" s="345">
        <f t="shared" si="4"/>
        <v>4000.0000000000005</v>
      </c>
      <c r="W59" s="345"/>
      <c r="X59" s="346">
        <v>1</v>
      </c>
      <c r="Y59" s="346">
        <v>1</v>
      </c>
      <c r="Z59" s="346">
        <v>1</v>
      </c>
      <c r="AA59" s="346">
        <v>1</v>
      </c>
      <c r="AB59" s="346">
        <v>0</v>
      </c>
      <c r="AC59" s="346">
        <v>1</v>
      </c>
      <c r="AD59" s="346">
        <v>1</v>
      </c>
      <c r="AE59" s="346">
        <v>0</v>
      </c>
      <c r="AF59" s="346">
        <v>1</v>
      </c>
      <c r="AG59" s="346">
        <v>1</v>
      </c>
      <c r="AH59" s="346">
        <v>1</v>
      </c>
      <c r="AI59" s="346">
        <v>1</v>
      </c>
      <c r="AJ59" s="346">
        <v>1</v>
      </c>
      <c r="AK59" s="346">
        <v>0</v>
      </c>
      <c r="AL59" s="346">
        <v>1</v>
      </c>
      <c r="AM59" s="346">
        <v>1</v>
      </c>
      <c r="AN59" s="346">
        <v>0</v>
      </c>
      <c r="AO59" s="346">
        <v>0</v>
      </c>
      <c r="AP59" s="347">
        <f>AVERAGE(X59:AO59)</f>
        <v>0.72222222222222221</v>
      </c>
    </row>
    <row r="60" spans="1:42" s="261" customFormat="1" ht="15.75" customHeight="1" x14ac:dyDescent="0.25">
      <c r="A60" s="123">
        <v>54</v>
      </c>
      <c r="B60" s="356" t="s">
        <v>97</v>
      </c>
      <c r="C60" s="356" t="s">
        <v>187</v>
      </c>
      <c r="D60" s="356" t="s">
        <v>41</v>
      </c>
      <c r="E60" s="356" t="s">
        <v>112</v>
      </c>
      <c r="F60" s="356"/>
      <c r="G60" s="357">
        <f t="shared" si="0"/>
        <v>200</v>
      </c>
      <c r="H60" s="358">
        <f t="shared" si="15"/>
        <v>3000</v>
      </c>
      <c r="I60" s="357">
        <v>6000</v>
      </c>
      <c r="J60" s="359">
        <v>15</v>
      </c>
      <c r="K60" s="359"/>
      <c r="L60" s="360">
        <v>250</v>
      </c>
      <c r="M60" s="360">
        <v>250</v>
      </c>
      <c r="N60" s="360"/>
      <c r="O60" s="360"/>
      <c r="P60" s="360"/>
      <c r="Q60" s="360"/>
      <c r="R60" s="361">
        <f t="shared" si="2"/>
        <v>3500</v>
      </c>
      <c r="S60" s="362"/>
      <c r="T60" s="374">
        <f>(J60*G60+L60+M60)-(N60+O60+P60+Q60)</f>
        <v>3500</v>
      </c>
      <c r="U60" s="254"/>
      <c r="V60" s="345">
        <f t="shared" si="4"/>
        <v>3000</v>
      </c>
      <c r="W60" s="345"/>
    </row>
    <row r="61" spans="1:42" s="261" customFormat="1" ht="15.75" customHeight="1" x14ac:dyDescent="0.25">
      <c r="A61" s="123">
        <v>55</v>
      </c>
      <c r="B61" s="356" t="s">
        <v>100</v>
      </c>
      <c r="C61" s="356" t="s">
        <v>20</v>
      </c>
      <c r="D61" s="356" t="s">
        <v>185</v>
      </c>
      <c r="E61" s="356" t="s">
        <v>197</v>
      </c>
      <c r="F61" s="356"/>
      <c r="G61" s="357">
        <f t="shared" si="0"/>
        <v>333.33333333333331</v>
      </c>
      <c r="H61" s="358">
        <f t="shared" si="15"/>
        <v>5000</v>
      </c>
      <c r="I61" s="357">
        <v>10000</v>
      </c>
      <c r="J61" s="359">
        <v>15</v>
      </c>
      <c r="K61" s="359"/>
      <c r="L61" s="359"/>
      <c r="M61" s="359"/>
      <c r="N61" s="360"/>
      <c r="O61" s="360"/>
      <c r="P61" s="360">
        <v>100</v>
      </c>
      <c r="Q61" s="360"/>
      <c r="R61" s="361">
        <f t="shared" si="2"/>
        <v>4900</v>
      </c>
      <c r="S61" s="370"/>
      <c r="T61" s="362">
        <f t="shared" si="3"/>
        <v>4900</v>
      </c>
      <c r="U61" s="254"/>
      <c r="V61" s="345">
        <f t="shared" si="4"/>
        <v>5000</v>
      </c>
      <c r="W61" s="345"/>
    </row>
    <row r="62" spans="1:42" s="261" customFormat="1" ht="15.75" customHeight="1" x14ac:dyDescent="0.25">
      <c r="A62" s="123">
        <v>56</v>
      </c>
      <c r="B62" s="369" t="s">
        <v>100</v>
      </c>
      <c r="C62" s="369" t="s">
        <v>79</v>
      </c>
      <c r="D62" s="369" t="s">
        <v>80</v>
      </c>
      <c r="E62" s="356" t="s">
        <v>96</v>
      </c>
      <c r="F62" s="356"/>
      <c r="G62" s="357">
        <f>H62/15</f>
        <v>233.33333333333334</v>
      </c>
      <c r="H62" s="358">
        <f>I62/2</f>
        <v>3500</v>
      </c>
      <c r="I62" s="357">
        <v>7000</v>
      </c>
      <c r="J62" s="359">
        <v>15</v>
      </c>
      <c r="K62" s="359"/>
      <c r="L62" s="359"/>
      <c r="M62" s="359"/>
      <c r="N62" s="360"/>
      <c r="O62" s="360"/>
      <c r="P62" s="360"/>
      <c r="Q62" s="360"/>
      <c r="R62" s="361">
        <f>T62-S62</f>
        <v>3500</v>
      </c>
      <c r="S62" s="362"/>
      <c r="T62" s="362">
        <f>(J62*G62)-(N62+O62+P62+Q62)</f>
        <v>3500</v>
      </c>
      <c r="U62" s="254"/>
      <c r="V62" s="345">
        <f>G62*J62</f>
        <v>3500</v>
      </c>
      <c r="W62" s="345"/>
    </row>
    <row r="63" spans="1:42" s="261" customFormat="1" ht="16.5" customHeight="1" x14ac:dyDescent="0.25">
      <c r="A63" s="123">
        <v>57</v>
      </c>
      <c r="B63" s="356" t="s">
        <v>100</v>
      </c>
      <c r="C63" s="356" t="s">
        <v>40</v>
      </c>
      <c r="D63" s="356" t="s">
        <v>186</v>
      </c>
      <c r="E63" s="356" t="s">
        <v>125</v>
      </c>
      <c r="F63" s="356"/>
      <c r="G63" s="357">
        <f>H63/15</f>
        <v>200</v>
      </c>
      <c r="H63" s="358">
        <f>I63/2</f>
        <v>3000</v>
      </c>
      <c r="I63" s="357">
        <v>6000</v>
      </c>
      <c r="J63" s="359">
        <v>15</v>
      </c>
      <c r="K63" s="359"/>
      <c r="L63" s="359"/>
      <c r="M63" s="359"/>
      <c r="N63" s="360"/>
      <c r="O63" s="360">
        <v>100</v>
      </c>
      <c r="P63" s="360"/>
      <c r="Q63" s="360"/>
      <c r="R63" s="361">
        <f>T63-S63</f>
        <v>2900</v>
      </c>
      <c r="S63" s="362"/>
      <c r="T63" s="362">
        <f>(J63*G63)-(N63+O63+P63+Q63)</f>
        <v>2900</v>
      </c>
      <c r="U63" s="254"/>
      <c r="V63" s="345">
        <f>G63*J63</f>
        <v>3000</v>
      </c>
      <c r="W63" s="345"/>
    </row>
    <row r="64" spans="1:42" s="261" customFormat="1" ht="15.75" customHeight="1" x14ac:dyDescent="0.25">
      <c r="A64" s="123">
        <v>58</v>
      </c>
      <c r="B64" s="356" t="s">
        <v>100</v>
      </c>
      <c r="C64" s="356" t="s">
        <v>187</v>
      </c>
      <c r="D64" s="356" t="s">
        <v>48</v>
      </c>
      <c r="E64" s="356" t="s">
        <v>102</v>
      </c>
      <c r="F64" s="356"/>
      <c r="G64" s="357">
        <f t="shared" si="0"/>
        <v>200</v>
      </c>
      <c r="H64" s="358">
        <f t="shared" si="15"/>
        <v>3000</v>
      </c>
      <c r="I64" s="357">
        <v>6000</v>
      </c>
      <c r="J64" s="359">
        <v>15</v>
      </c>
      <c r="K64" s="359"/>
      <c r="L64" s="359"/>
      <c r="M64" s="359"/>
      <c r="N64" s="360"/>
      <c r="O64" s="360"/>
      <c r="P64" s="360"/>
      <c r="Q64" s="360"/>
      <c r="R64" s="361">
        <f t="shared" si="2"/>
        <v>3000</v>
      </c>
      <c r="S64" s="362"/>
      <c r="T64" s="362">
        <f t="shared" si="3"/>
        <v>3000</v>
      </c>
      <c r="U64" s="254"/>
      <c r="V64" s="345">
        <f t="shared" si="4"/>
        <v>3000</v>
      </c>
      <c r="W64" s="345"/>
    </row>
    <row r="65" spans="1:41" s="261" customFormat="1" ht="15.75" customHeight="1" x14ac:dyDescent="0.25">
      <c r="A65" s="123">
        <v>59</v>
      </c>
      <c r="B65" s="356" t="s">
        <v>100</v>
      </c>
      <c r="C65" s="356" t="s">
        <v>20</v>
      </c>
      <c r="D65" s="356" t="s">
        <v>51</v>
      </c>
      <c r="E65" s="356" t="s">
        <v>242</v>
      </c>
      <c r="F65" s="356" t="s">
        <v>274</v>
      </c>
      <c r="G65" s="357">
        <f>H65/15</f>
        <v>166.66666666666666</v>
      </c>
      <c r="H65" s="358">
        <f t="shared" si="15"/>
        <v>2500</v>
      </c>
      <c r="I65" s="357">
        <v>5000</v>
      </c>
      <c r="J65" s="359">
        <v>11</v>
      </c>
      <c r="K65" s="359"/>
      <c r="L65" s="359"/>
      <c r="M65" s="359"/>
      <c r="N65" s="360"/>
      <c r="O65" s="360"/>
      <c r="P65" s="360"/>
      <c r="Q65" s="360"/>
      <c r="R65" s="361">
        <f t="shared" si="2"/>
        <v>1833.3333333333333</v>
      </c>
      <c r="S65" s="362"/>
      <c r="T65" s="362">
        <f t="shared" si="3"/>
        <v>1833.3333333333333</v>
      </c>
      <c r="U65" s="254"/>
      <c r="V65" s="345">
        <f t="shared" si="4"/>
        <v>1833.3333333333333</v>
      </c>
      <c r="W65" s="345"/>
    </row>
    <row r="66" spans="1:41" s="261" customFormat="1" ht="15.75" customHeight="1" x14ac:dyDescent="0.25">
      <c r="A66" s="123">
        <v>60</v>
      </c>
      <c r="B66" s="356" t="s">
        <v>100</v>
      </c>
      <c r="C66" s="356" t="s">
        <v>20</v>
      </c>
      <c r="D66" s="356" t="s">
        <v>51</v>
      </c>
      <c r="E66" s="356" t="s">
        <v>243</v>
      </c>
      <c r="F66" s="356" t="s">
        <v>273</v>
      </c>
      <c r="G66" s="357">
        <f>H66/15</f>
        <v>166.66666666666666</v>
      </c>
      <c r="H66" s="358">
        <f t="shared" ref="H66" si="25">I66/2</f>
        <v>2500</v>
      </c>
      <c r="I66" s="357">
        <v>5000</v>
      </c>
      <c r="J66" s="359">
        <v>7</v>
      </c>
      <c r="K66" s="359"/>
      <c r="L66" s="359"/>
      <c r="M66" s="359"/>
      <c r="N66" s="360"/>
      <c r="O66" s="360"/>
      <c r="P66" s="360"/>
      <c r="Q66" s="360"/>
      <c r="R66" s="361">
        <f t="shared" si="2"/>
        <v>1166.6666666666665</v>
      </c>
      <c r="S66" s="362"/>
      <c r="T66" s="362">
        <f t="shared" si="3"/>
        <v>1166.6666666666665</v>
      </c>
      <c r="U66" s="254"/>
      <c r="V66" s="345">
        <f t="shared" si="4"/>
        <v>1166.6666666666665</v>
      </c>
      <c r="W66" s="345"/>
    </row>
    <row r="67" spans="1:41" s="261" customFormat="1" ht="15.75" customHeight="1" x14ac:dyDescent="0.25">
      <c r="A67" s="123">
        <v>61</v>
      </c>
      <c r="B67" s="356" t="s">
        <v>100</v>
      </c>
      <c r="C67" s="356" t="s">
        <v>187</v>
      </c>
      <c r="D67" s="356" t="s">
        <v>48</v>
      </c>
      <c r="E67" s="356" t="s">
        <v>106</v>
      </c>
      <c r="F67" s="356"/>
      <c r="G67" s="357">
        <f t="shared" si="0"/>
        <v>266.66666666666669</v>
      </c>
      <c r="H67" s="358">
        <f t="shared" si="15"/>
        <v>4000</v>
      </c>
      <c r="I67" s="357">
        <v>8000</v>
      </c>
      <c r="J67" s="359">
        <v>15</v>
      </c>
      <c r="K67" s="359"/>
      <c r="L67" s="359"/>
      <c r="M67" s="359"/>
      <c r="N67" s="360">
        <v>265</v>
      </c>
      <c r="O67" s="360"/>
      <c r="P67" s="360"/>
      <c r="Q67" s="360"/>
      <c r="R67" s="361">
        <f t="shared" si="2"/>
        <v>3735.0000000000005</v>
      </c>
      <c r="S67" s="362"/>
      <c r="T67" s="362">
        <f t="shared" si="3"/>
        <v>3735.0000000000005</v>
      </c>
      <c r="U67" s="254"/>
      <c r="V67" s="345">
        <f t="shared" si="4"/>
        <v>4000.0000000000005</v>
      </c>
      <c r="W67" s="345"/>
    </row>
    <row r="68" spans="1:41" s="270" customFormat="1" ht="15.75" customHeight="1" x14ac:dyDescent="0.25">
      <c r="A68" s="123">
        <v>62</v>
      </c>
      <c r="B68" s="363" t="s">
        <v>107</v>
      </c>
      <c r="C68" s="363" t="s">
        <v>187</v>
      </c>
      <c r="D68" s="363" t="s">
        <v>108</v>
      </c>
      <c r="E68" s="363" t="s">
        <v>109</v>
      </c>
      <c r="F68" s="363"/>
      <c r="G68" s="364">
        <f t="shared" si="0"/>
        <v>400</v>
      </c>
      <c r="H68" s="358">
        <f t="shared" si="15"/>
        <v>6000</v>
      </c>
      <c r="I68" s="364">
        <v>12000</v>
      </c>
      <c r="J68" s="365">
        <v>15</v>
      </c>
      <c r="K68" s="365"/>
      <c r="L68" s="365"/>
      <c r="M68" s="365"/>
      <c r="N68" s="366"/>
      <c r="O68" s="366"/>
      <c r="P68" s="366"/>
      <c r="Q68" s="366"/>
      <c r="R68" s="367">
        <f t="shared" si="2"/>
        <v>6000</v>
      </c>
      <c r="S68" s="368"/>
      <c r="T68" s="368">
        <f t="shared" si="3"/>
        <v>6000</v>
      </c>
      <c r="U68" s="264"/>
      <c r="V68" s="348">
        <f t="shared" si="4"/>
        <v>6000</v>
      </c>
      <c r="W68" s="348"/>
    </row>
    <row r="69" spans="1:41" s="270" customFormat="1" ht="15.75" customHeight="1" x14ac:dyDescent="0.25">
      <c r="A69" s="123">
        <v>63</v>
      </c>
      <c r="B69" s="363" t="s">
        <v>107</v>
      </c>
      <c r="C69" s="363" t="s">
        <v>79</v>
      </c>
      <c r="D69" s="363" t="s">
        <v>199</v>
      </c>
      <c r="E69" s="363" t="s">
        <v>126</v>
      </c>
      <c r="F69" s="363"/>
      <c r="G69" s="364">
        <f t="shared" si="0"/>
        <v>200</v>
      </c>
      <c r="H69" s="358">
        <f t="shared" si="15"/>
        <v>3000</v>
      </c>
      <c r="I69" s="364">
        <v>6000</v>
      </c>
      <c r="J69" s="365">
        <v>15</v>
      </c>
      <c r="K69" s="365"/>
      <c r="L69" s="365"/>
      <c r="M69" s="365"/>
      <c r="N69" s="366"/>
      <c r="O69" s="366"/>
      <c r="P69" s="366"/>
      <c r="Q69" s="366"/>
      <c r="R69" s="367">
        <f t="shared" si="2"/>
        <v>3000</v>
      </c>
      <c r="S69" s="368"/>
      <c r="T69" s="368">
        <f t="shared" si="3"/>
        <v>3000</v>
      </c>
      <c r="U69" s="264"/>
      <c r="V69" s="348">
        <f t="shared" si="4"/>
        <v>3000</v>
      </c>
      <c r="W69" s="348"/>
    </row>
    <row r="70" spans="1:41" s="270" customFormat="1" ht="15.75" customHeight="1" x14ac:dyDescent="0.25">
      <c r="A70" s="123">
        <v>64</v>
      </c>
      <c r="B70" s="363" t="s">
        <v>107</v>
      </c>
      <c r="C70" s="363" t="s">
        <v>65</v>
      </c>
      <c r="D70" s="363" t="s">
        <v>66</v>
      </c>
      <c r="E70" s="363" t="s">
        <v>131</v>
      </c>
      <c r="F70" s="363"/>
      <c r="G70" s="364">
        <f t="shared" si="0"/>
        <v>200</v>
      </c>
      <c r="H70" s="358">
        <f t="shared" si="15"/>
        <v>3000</v>
      </c>
      <c r="I70" s="364">
        <v>6000</v>
      </c>
      <c r="J70" s="365">
        <v>15</v>
      </c>
      <c r="K70" s="365"/>
      <c r="L70" s="365"/>
      <c r="M70" s="365"/>
      <c r="N70" s="366"/>
      <c r="O70" s="366"/>
      <c r="P70" s="366"/>
      <c r="Q70" s="366"/>
      <c r="R70" s="367">
        <f t="shared" si="2"/>
        <v>3000</v>
      </c>
      <c r="S70" s="368"/>
      <c r="T70" s="368">
        <f t="shared" si="3"/>
        <v>3000</v>
      </c>
      <c r="U70" s="264"/>
      <c r="V70" s="348">
        <f t="shared" si="4"/>
        <v>3000</v>
      </c>
      <c r="W70" s="348"/>
    </row>
    <row r="71" spans="1:41" s="270" customFormat="1" ht="15.75" customHeight="1" x14ac:dyDescent="0.25">
      <c r="A71" s="123">
        <v>65</v>
      </c>
      <c r="B71" s="363" t="s">
        <v>107</v>
      </c>
      <c r="C71" s="363" t="s">
        <v>65</v>
      </c>
      <c r="D71" s="363" t="s">
        <v>66</v>
      </c>
      <c r="E71" s="363" t="s">
        <v>118</v>
      </c>
      <c r="F71" s="363"/>
      <c r="G71" s="364">
        <f t="shared" si="0"/>
        <v>200</v>
      </c>
      <c r="H71" s="358">
        <f t="shared" si="15"/>
        <v>3000</v>
      </c>
      <c r="I71" s="364">
        <v>6000</v>
      </c>
      <c r="J71" s="365">
        <v>15</v>
      </c>
      <c r="K71" s="365"/>
      <c r="L71" s="365"/>
      <c r="M71" s="365"/>
      <c r="N71" s="366"/>
      <c r="O71" s="366"/>
      <c r="P71" s="366"/>
      <c r="Q71" s="366"/>
      <c r="R71" s="367">
        <f t="shared" si="2"/>
        <v>3000</v>
      </c>
      <c r="S71" s="368"/>
      <c r="T71" s="368">
        <f t="shared" si="3"/>
        <v>3000</v>
      </c>
      <c r="U71" s="264"/>
      <c r="V71" s="348">
        <f t="shared" si="4"/>
        <v>3000</v>
      </c>
      <c r="W71" s="348"/>
    </row>
    <row r="72" spans="1:41" s="270" customFormat="1" ht="15.75" customHeight="1" x14ac:dyDescent="0.25">
      <c r="A72" s="123">
        <v>66</v>
      </c>
      <c r="B72" s="363" t="s">
        <v>107</v>
      </c>
      <c r="C72" s="363" t="s">
        <v>65</v>
      </c>
      <c r="D72" s="363" t="s">
        <v>66</v>
      </c>
      <c r="E72" s="363" t="s">
        <v>247</v>
      </c>
      <c r="F72" s="363" t="s">
        <v>270</v>
      </c>
      <c r="G72" s="364">
        <v>166.67</v>
      </c>
      <c r="H72" s="358">
        <v>2500</v>
      </c>
      <c r="I72" s="364">
        <v>5000</v>
      </c>
      <c r="J72" s="365">
        <v>10</v>
      </c>
      <c r="K72" s="365"/>
      <c r="L72" s="365"/>
      <c r="M72" s="365"/>
      <c r="N72" s="366"/>
      <c r="O72" s="366"/>
      <c r="P72" s="366"/>
      <c r="Q72" s="366"/>
      <c r="R72" s="367">
        <f t="shared" si="2"/>
        <v>1666.6999999999998</v>
      </c>
      <c r="S72" s="368"/>
      <c r="T72" s="368">
        <f t="shared" si="3"/>
        <v>1666.6999999999998</v>
      </c>
      <c r="U72" s="264"/>
      <c r="V72" s="348"/>
      <c r="W72" s="348"/>
    </row>
    <row r="73" spans="1:41" s="261" customFormat="1" ht="15.75" customHeight="1" x14ac:dyDescent="0.25">
      <c r="A73" s="123">
        <v>67</v>
      </c>
      <c r="B73" s="356" t="s">
        <v>149</v>
      </c>
      <c r="C73" s="356" t="s">
        <v>20</v>
      </c>
      <c r="D73" s="356" t="s">
        <v>185</v>
      </c>
      <c r="E73" s="356" t="s">
        <v>154</v>
      </c>
      <c r="F73" s="356"/>
      <c r="G73" s="357">
        <f t="shared" si="0"/>
        <v>333.33333333333331</v>
      </c>
      <c r="H73" s="358">
        <f t="shared" si="15"/>
        <v>5000</v>
      </c>
      <c r="I73" s="357">
        <v>10000</v>
      </c>
      <c r="J73" s="359">
        <v>15</v>
      </c>
      <c r="K73" s="359"/>
      <c r="L73" s="359"/>
      <c r="M73" s="359"/>
      <c r="N73" s="360"/>
      <c r="O73" s="375"/>
      <c r="P73" s="360">
        <v>100</v>
      </c>
      <c r="Q73" s="360"/>
      <c r="R73" s="361">
        <f t="shared" si="2"/>
        <v>4900</v>
      </c>
      <c r="S73" s="362"/>
      <c r="T73" s="362">
        <f t="shared" si="3"/>
        <v>4900</v>
      </c>
      <c r="U73" s="254"/>
      <c r="V73" s="296">
        <f t="shared" si="4"/>
        <v>5000</v>
      </c>
      <c r="W73" s="296"/>
      <c r="X73" s="316">
        <v>1</v>
      </c>
      <c r="Y73" s="316">
        <v>1</v>
      </c>
      <c r="Z73" s="316">
        <v>0</v>
      </c>
      <c r="AA73" s="316">
        <v>1</v>
      </c>
      <c r="AB73" s="317">
        <v>0</v>
      </c>
      <c r="AC73" s="316">
        <v>0</v>
      </c>
      <c r="AD73" s="316">
        <v>1</v>
      </c>
      <c r="AE73" s="316">
        <v>0</v>
      </c>
      <c r="AF73" s="316">
        <v>1</v>
      </c>
      <c r="AG73" s="317">
        <v>1</v>
      </c>
      <c r="AH73" s="316">
        <v>0</v>
      </c>
      <c r="AI73" s="316">
        <v>1</v>
      </c>
      <c r="AJ73" s="316">
        <v>1</v>
      </c>
      <c r="AK73" s="316">
        <v>1</v>
      </c>
      <c r="AL73" s="316">
        <v>1</v>
      </c>
      <c r="AM73" s="316">
        <v>0</v>
      </c>
      <c r="AN73" s="316">
        <v>1</v>
      </c>
      <c r="AO73" s="317">
        <v>0</v>
      </c>
    </row>
    <row r="74" spans="1:41" s="261" customFormat="1" ht="15.75" customHeight="1" x14ac:dyDescent="0.25">
      <c r="A74" s="123">
        <v>68</v>
      </c>
      <c r="B74" s="356" t="s">
        <v>149</v>
      </c>
      <c r="C74" s="356" t="s">
        <v>187</v>
      </c>
      <c r="D74" s="356" t="s">
        <v>150</v>
      </c>
      <c r="E74" s="356" t="s">
        <v>155</v>
      </c>
      <c r="F74" s="356"/>
      <c r="G74" s="357">
        <f t="shared" si="0"/>
        <v>166.66666666666666</v>
      </c>
      <c r="H74" s="358">
        <f t="shared" si="15"/>
        <v>2500</v>
      </c>
      <c r="I74" s="357">
        <v>5000</v>
      </c>
      <c r="J74" s="359">
        <v>15</v>
      </c>
      <c r="K74" s="359"/>
      <c r="L74" s="359"/>
      <c r="M74" s="359"/>
      <c r="N74" s="360"/>
      <c r="O74" s="360"/>
      <c r="P74" s="360"/>
      <c r="Q74" s="360"/>
      <c r="R74" s="361">
        <f t="shared" si="2"/>
        <v>2500</v>
      </c>
      <c r="S74" s="362"/>
      <c r="T74" s="362">
        <f t="shared" si="3"/>
        <v>2500</v>
      </c>
      <c r="U74" s="254"/>
      <c r="V74" s="296">
        <f t="shared" si="4"/>
        <v>2500</v>
      </c>
      <c r="W74" s="296"/>
      <c r="X74" s="316">
        <v>1</v>
      </c>
      <c r="Y74" s="316">
        <v>1</v>
      </c>
      <c r="Z74" s="316">
        <v>0</v>
      </c>
      <c r="AA74" s="316">
        <v>1</v>
      </c>
      <c r="AB74" s="317">
        <v>0</v>
      </c>
      <c r="AC74" s="316">
        <v>1</v>
      </c>
      <c r="AD74" s="316">
        <v>1</v>
      </c>
      <c r="AE74" s="316">
        <v>0</v>
      </c>
      <c r="AF74" s="316">
        <v>1</v>
      </c>
      <c r="AG74" s="317">
        <v>0</v>
      </c>
      <c r="AH74" s="316">
        <v>0</v>
      </c>
      <c r="AI74" s="316">
        <v>1</v>
      </c>
      <c r="AJ74" s="316">
        <v>0</v>
      </c>
      <c r="AK74" s="316">
        <v>1</v>
      </c>
      <c r="AL74" s="316">
        <v>0</v>
      </c>
      <c r="AM74" s="316">
        <v>1</v>
      </c>
      <c r="AN74" s="316">
        <v>1</v>
      </c>
      <c r="AO74" s="317">
        <v>0</v>
      </c>
    </row>
    <row r="75" spans="1:41" s="261" customFormat="1" ht="15.75" customHeight="1" x14ac:dyDescent="0.25">
      <c r="A75" s="123">
        <v>69</v>
      </c>
      <c r="B75" s="356" t="s">
        <v>149</v>
      </c>
      <c r="C75" s="356" t="s">
        <v>40</v>
      </c>
      <c r="D75" s="356" t="s">
        <v>186</v>
      </c>
      <c r="E75" s="356" t="s">
        <v>196</v>
      </c>
      <c r="F75" s="356"/>
      <c r="G75" s="357">
        <f t="shared" si="0"/>
        <v>200</v>
      </c>
      <c r="H75" s="358">
        <f t="shared" si="15"/>
        <v>3000</v>
      </c>
      <c r="I75" s="357">
        <v>6000</v>
      </c>
      <c r="J75" s="359">
        <v>15</v>
      </c>
      <c r="K75" s="359"/>
      <c r="L75" s="359"/>
      <c r="M75" s="359"/>
      <c r="N75" s="360"/>
      <c r="O75" s="360"/>
      <c r="P75" s="360"/>
      <c r="Q75" s="360"/>
      <c r="R75" s="361">
        <f t="shared" si="2"/>
        <v>3000</v>
      </c>
      <c r="S75" s="362"/>
      <c r="T75" s="362">
        <f t="shared" si="3"/>
        <v>3000</v>
      </c>
      <c r="U75" s="254"/>
      <c r="V75" s="296">
        <f t="shared" si="4"/>
        <v>3000</v>
      </c>
      <c r="W75" s="296"/>
      <c r="X75" s="316">
        <v>1</v>
      </c>
      <c r="Y75" s="316">
        <v>0</v>
      </c>
      <c r="Z75" s="316">
        <v>0</v>
      </c>
      <c r="AA75" s="316">
        <v>1</v>
      </c>
      <c r="AB75" s="317">
        <v>0</v>
      </c>
      <c r="AC75" s="316">
        <v>1</v>
      </c>
      <c r="AD75" s="316">
        <v>0</v>
      </c>
      <c r="AE75" s="316">
        <v>0</v>
      </c>
      <c r="AF75" s="316">
        <v>0</v>
      </c>
      <c r="AG75" s="317">
        <v>0</v>
      </c>
      <c r="AH75" s="316">
        <v>0</v>
      </c>
      <c r="AI75" s="316">
        <v>1</v>
      </c>
      <c r="AJ75" s="316">
        <v>0</v>
      </c>
      <c r="AK75" s="316">
        <v>0</v>
      </c>
      <c r="AL75" s="316">
        <v>0</v>
      </c>
      <c r="AM75" s="316">
        <v>1</v>
      </c>
      <c r="AN75" s="316">
        <v>1</v>
      </c>
      <c r="AO75" s="317">
        <v>0</v>
      </c>
    </row>
    <row r="76" spans="1:41" s="261" customFormat="1" ht="15.75" customHeight="1" x14ac:dyDescent="0.25">
      <c r="A76" s="123">
        <v>70</v>
      </c>
      <c r="B76" s="356" t="s">
        <v>149</v>
      </c>
      <c r="C76" s="356" t="s">
        <v>40</v>
      </c>
      <c r="D76" s="356" t="s">
        <v>41</v>
      </c>
      <c r="E76" s="356" t="s">
        <v>157</v>
      </c>
      <c r="F76" s="356"/>
      <c r="G76" s="357">
        <f t="shared" si="0"/>
        <v>166.66666666666666</v>
      </c>
      <c r="H76" s="358">
        <f t="shared" si="15"/>
        <v>2500</v>
      </c>
      <c r="I76" s="357">
        <v>5000</v>
      </c>
      <c r="J76" s="359">
        <v>15</v>
      </c>
      <c r="K76" s="359"/>
      <c r="L76" s="359"/>
      <c r="M76" s="359"/>
      <c r="N76" s="360"/>
      <c r="O76" s="360"/>
      <c r="P76" s="360"/>
      <c r="Q76" s="360"/>
      <c r="R76" s="361">
        <f t="shared" si="2"/>
        <v>2500</v>
      </c>
      <c r="S76" s="362"/>
      <c r="T76" s="362">
        <f t="shared" si="3"/>
        <v>2500</v>
      </c>
      <c r="U76" s="254"/>
      <c r="V76" s="296">
        <f t="shared" si="4"/>
        <v>2500</v>
      </c>
      <c r="W76" s="296"/>
      <c r="X76" s="316">
        <v>1</v>
      </c>
      <c r="Y76" s="316">
        <v>0</v>
      </c>
      <c r="Z76" s="316">
        <v>0</v>
      </c>
      <c r="AA76" s="316">
        <v>1</v>
      </c>
      <c r="AB76" s="317">
        <v>0</v>
      </c>
      <c r="AC76" s="316">
        <v>1</v>
      </c>
      <c r="AD76" s="316">
        <v>1</v>
      </c>
      <c r="AE76" s="316">
        <v>0</v>
      </c>
      <c r="AF76" s="316">
        <v>1</v>
      </c>
      <c r="AG76" s="317">
        <v>0</v>
      </c>
      <c r="AH76" s="316">
        <v>0</v>
      </c>
      <c r="AI76" s="316">
        <v>0</v>
      </c>
      <c r="AJ76" s="316">
        <v>1</v>
      </c>
      <c r="AK76" s="316">
        <v>1</v>
      </c>
      <c r="AL76" s="316">
        <v>1</v>
      </c>
      <c r="AM76" s="316">
        <v>1</v>
      </c>
      <c r="AN76" s="316">
        <v>0</v>
      </c>
      <c r="AO76" s="317">
        <v>0</v>
      </c>
    </row>
    <row r="77" spans="1:41" s="261" customFormat="1" ht="15.75" customHeight="1" x14ac:dyDescent="0.25">
      <c r="A77" s="123">
        <v>71</v>
      </c>
      <c r="B77" s="356" t="s">
        <v>149</v>
      </c>
      <c r="C77" s="356" t="s">
        <v>187</v>
      </c>
      <c r="D77" s="356" t="s">
        <v>48</v>
      </c>
      <c r="E77" s="356" t="s">
        <v>158</v>
      </c>
      <c r="F77" s="356"/>
      <c r="G77" s="357">
        <f t="shared" si="0"/>
        <v>183.33333333333334</v>
      </c>
      <c r="H77" s="358">
        <f t="shared" si="15"/>
        <v>2750</v>
      </c>
      <c r="I77" s="357">
        <v>5500</v>
      </c>
      <c r="J77" s="359">
        <v>14</v>
      </c>
      <c r="K77" s="359">
        <v>1</v>
      </c>
      <c r="L77" s="359"/>
      <c r="M77" s="359"/>
      <c r="N77" s="360"/>
      <c r="O77" s="360"/>
      <c r="P77" s="360"/>
      <c r="Q77" s="360"/>
      <c r="R77" s="361">
        <f t="shared" si="2"/>
        <v>2566.666666666667</v>
      </c>
      <c r="S77" s="362"/>
      <c r="T77" s="362">
        <f t="shared" si="3"/>
        <v>2566.666666666667</v>
      </c>
      <c r="U77" s="254"/>
      <c r="V77" s="296">
        <f t="shared" si="4"/>
        <v>2566.666666666667</v>
      </c>
      <c r="W77" s="296"/>
      <c r="X77" s="316">
        <v>1</v>
      </c>
      <c r="Y77" s="316">
        <v>0</v>
      </c>
      <c r="Z77" s="316">
        <v>0</v>
      </c>
      <c r="AA77" s="316">
        <v>1</v>
      </c>
      <c r="AB77" s="317">
        <v>0</v>
      </c>
      <c r="AC77" s="316">
        <v>1</v>
      </c>
      <c r="AD77" s="316">
        <v>1</v>
      </c>
      <c r="AE77" s="316">
        <v>0</v>
      </c>
      <c r="AF77" s="316">
        <v>1</v>
      </c>
      <c r="AG77" s="317">
        <v>0</v>
      </c>
      <c r="AH77" s="316">
        <v>0</v>
      </c>
      <c r="AI77" s="316">
        <v>1</v>
      </c>
      <c r="AJ77" s="316">
        <v>0</v>
      </c>
      <c r="AK77" s="316">
        <v>0</v>
      </c>
      <c r="AL77" s="316">
        <v>1</v>
      </c>
      <c r="AM77" s="316">
        <v>1</v>
      </c>
      <c r="AN77" s="316">
        <v>0</v>
      </c>
      <c r="AO77" s="317">
        <v>0</v>
      </c>
    </row>
    <row r="78" spans="1:41" s="261" customFormat="1" ht="15.75" customHeight="1" x14ac:dyDescent="0.25">
      <c r="A78" s="123">
        <v>72</v>
      </c>
      <c r="B78" s="356" t="s">
        <v>149</v>
      </c>
      <c r="C78" s="356" t="s">
        <v>20</v>
      </c>
      <c r="D78" s="356" t="s">
        <v>51</v>
      </c>
      <c r="E78" s="356" t="s">
        <v>194</v>
      </c>
      <c r="F78" s="356"/>
      <c r="G78" s="357">
        <f t="shared" ref="G78:G84" si="26">H78/15</f>
        <v>183.33333333333334</v>
      </c>
      <c r="H78" s="358">
        <f t="shared" si="15"/>
        <v>2750</v>
      </c>
      <c r="I78" s="357">
        <v>5500</v>
      </c>
      <c r="J78" s="359">
        <v>15</v>
      </c>
      <c r="K78" s="359"/>
      <c r="L78" s="359"/>
      <c r="M78" s="359"/>
      <c r="N78" s="360"/>
      <c r="O78" s="360"/>
      <c r="P78" s="360"/>
      <c r="Q78" s="360"/>
      <c r="R78" s="361">
        <f t="shared" ref="R78:R84" si="27">T78-S78</f>
        <v>2750</v>
      </c>
      <c r="S78" s="362"/>
      <c r="T78" s="362">
        <f t="shared" ref="T78:T84" si="28">(J78*G78)-(N78+O78+P78+Q78)</f>
        <v>2750</v>
      </c>
      <c r="U78" s="254"/>
      <c r="V78" s="296">
        <f t="shared" si="4"/>
        <v>2750</v>
      </c>
      <c r="W78" s="296"/>
      <c r="X78" s="316">
        <v>1</v>
      </c>
      <c r="Y78" s="316">
        <v>0</v>
      </c>
      <c r="Z78" s="316">
        <v>0</v>
      </c>
      <c r="AA78" s="316">
        <v>1</v>
      </c>
      <c r="AB78" s="317">
        <v>0</v>
      </c>
      <c r="AC78" s="316">
        <v>1</v>
      </c>
      <c r="AD78" s="316">
        <v>1</v>
      </c>
      <c r="AE78" s="316">
        <v>0</v>
      </c>
      <c r="AF78" s="316">
        <v>1</v>
      </c>
      <c r="AG78" s="317">
        <v>1</v>
      </c>
      <c r="AH78" s="316">
        <v>0</v>
      </c>
      <c r="AI78" s="316">
        <v>0</v>
      </c>
      <c r="AJ78" s="316">
        <v>0</v>
      </c>
      <c r="AK78" s="316">
        <v>0</v>
      </c>
      <c r="AL78" s="316">
        <v>1</v>
      </c>
      <c r="AM78" s="316">
        <v>0</v>
      </c>
      <c r="AN78" s="316">
        <v>1</v>
      </c>
      <c r="AO78" s="317">
        <v>0</v>
      </c>
    </row>
    <row r="79" spans="1:41" s="270" customFormat="1" ht="15.75" customHeight="1" x14ac:dyDescent="0.25">
      <c r="A79" s="123">
        <v>73</v>
      </c>
      <c r="B79" s="363" t="s">
        <v>160</v>
      </c>
      <c r="C79" s="363" t="s">
        <v>20</v>
      </c>
      <c r="D79" s="363" t="s">
        <v>185</v>
      </c>
      <c r="E79" s="363" t="s">
        <v>163</v>
      </c>
      <c r="F79" s="363"/>
      <c r="G79" s="364">
        <f t="shared" si="26"/>
        <v>333.33333333333331</v>
      </c>
      <c r="H79" s="358">
        <f t="shared" si="15"/>
        <v>5000</v>
      </c>
      <c r="I79" s="364">
        <v>10000</v>
      </c>
      <c r="J79" s="365">
        <v>15</v>
      </c>
      <c r="K79" s="365"/>
      <c r="L79" s="365"/>
      <c r="M79" s="365"/>
      <c r="N79" s="366"/>
      <c r="O79" s="366"/>
      <c r="P79" s="366"/>
      <c r="Q79" s="366"/>
      <c r="R79" s="367">
        <f t="shared" si="27"/>
        <v>5000</v>
      </c>
      <c r="S79" s="368"/>
      <c r="T79" s="368">
        <f t="shared" si="28"/>
        <v>5000</v>
      </c>
      <c r="U79" s="264"/>
      <c r="V79" s="348">
        <f t="shared" si="4"/>
        <v>5000</v>
      </c>
      <c r="W79" s="348"/>
      <c r="X79" s="316">
        <v>1</v>
      </c>
      <c r="Y79" s="316">
        <v>1</v>
      </c>
      <c r="Z79" s="316">
        <v>0</v>
      </c>
      <c r="AA79" s="316">
        <v>0</v>
      </c>
      <c r="AB79" s="317">
        <v>0</v>
      </c>
      <c r="AC79" s="316">
        <v>1</v>
      </c>
      <c r="AD79" s="316">
        <v>1</v>
      </c>
      <c r="AE79" s="316">
        <v>0</v>
      </c>
      <c r="AF79" s="316">
        <v>1</v>
      </c>
      <c r="AG79" s="317">
        <v>1</v>
      </c>
      <c r="AH79" s="316">
        <v>0</v>
      </c>
      <c r="AI79" s="316">
        <v>1</v>
      </c>
      <c r="AJ79" s="316">
        <v>1</v>
      </c>
      <c r="AK79" s="316">
        <v>1</v>
      </c>
      <c r="AL79" s="316">
        <v>0</v>
      </c>
      <c r="AM79" s="316">
        <v>1</v>
      </c>
      <c r="AN79" s="316">
        <v>0</v>
      </c>
      <c r="AO79" s="317">
        <v>1</v>
      </c>
    </row>
    <row r="80" spans="1:41" s="270" customFormat="1" ht="15.75" customHeight="1" x14ac:dyDescent="0.25">
      <c r="A80" s="123">
        <v>74</v>
      </c>
      <c r="B80" s="363" t="s">
        <v>160</v>
      </c>
      <c r="C80" s="363" t="s">
        <v>40</v>
      </c>
      <c r="D80" s="363" t="s">
        <v>48</v>
      </c>
      <c r="E80" s="363" t="s">
        <v>164</v>
      </c>
      <c r="F80" s="363"/>
      <c r="G80" s="364">
        <f t="shared" si="26"/>
        <v>200</v>
      </c>
      <c r="H80" s="358">
        <f t="shared" si="15"/>
        <v>3000</v>
      </c>
      <c r="I80" s="364">
        <v>6000</v>
      </c>
      <c r="J80" s="365">
        <v>15</v>
      </c>
      <c r="K80" s="365"/>
      <c r="L80" s="365"/>
      <c r="M80" s="365"/>
      <c r="N80" s="366"/>
      <c r="O80" s="366"/>
      <c r="P80" s="366"/>
      <c r="Q80" s="366"/>
      <c r="R80" s="367">
        <f t="shared" si="27"/>
        <v>3000</v>
      </c>
      <c r="S80" s="368"/>
      <c r="T80" s="368">
        <f t="shared" si="28"/>
        <v>3000</v>
      </c>
      <c r="U80" s="264"/>
      <c r="V80" s="348">
        <f t="shared" ref="V80:V84" si="29">G80*J80</f>
        <v>3000</v>
      </c>
      <c r="W80" s="348"/>
      <c r="X80" s="316">
        <v>1</v>
      </c>
      <c r="Y80" s="316">
        <v>0</v>
      </c>
      <c r="Z80" s="316">
        <v>0</v>
      </c>
      <c r="AA80" s="316">
        <v>1</v>
      </c>
      <c r="AB80" s="317">
        <v>0</v>
      </c>
      <c r="AC80" s="316">
        <v>0</v>
      </c>
      <c r="AD80" s="316">
        <v>1</v>
      </c>
      <c r="AE80" s="316">
        <v>0</v>
      </c>
      <c r="AF80" s="316">
        <v>1</v>
      </c>
      <c r="AG80" s="317">
        <v>0</v>
      </c>
      <c r="AH80" s="316">
        <v>0</v>
      </c>
      <c r="AI80" s="316">
        <v>1</v>
      </c>
      <c r="AJ80" s="316">
        <v>1</v>
      </c>
      <c r="AK80" s="316">
        <v>0</v>
      </c>
      <c r="AL80" s="316">
        <v>0</v>
      </c>
      <c r="AM80" s="316">
        <v>0</v>
      </c>
      <c r="AN80" s="316">
        <v>0</v>
      </c>
      <c r="AO80" s="317">
        <v>0</v>
      </c>
    </row>
    <row r="81" spans="1:41" s="270" customFormat="1" ht="15.75" customHeight="1" x14ac:dyDescent="0.25">
      <c r="A81" s="123">
        <v>75</v>
      </c>
      <c r="B81" s="363" t="s">
        <v>160</v>
      </c>
      <c r="C81" s="363" t="s">
        <v>40</v>
      </c>
      <c r="D81" s="363" t="s">
        <v>186</v>
      </c>
      <c r="E81" s="363" t="s">
        <v>165</v>
      </c>
      <c r="F81" s="363"/>
      <c r="G81" s="364">
        <f t="shared" si="26"/>
        <v>166.66666666666666</v>
      </c>
      <c r="H81" s="358">
        <f t="shared" si="15"/>
        <v>2500</v>
      </c>
      <c r="I81" s="364">
        <v>5000</v>
      </c>
      <c r="J81" s="365">
        <v>15</v>
      </c>
      <c r="K81" s="365"/>
      <c r="L81" s="365"/>
      <c r="M81" s="365"/>
      <c r="N81" s="366"/>
      <c r="O81" s="366"/>
      <c r="P81" s="366"/>
      <c r="Q81" s="366"/>
      <c r="R81" s="367">
        <f t="shared" si="27"/>
        <v>2500</v>
      </c>
      <c r="S81" s="368"/>
      <c r="T81" s="368">
        <f t="shared" si="28"/>
        <v>2500</v>
      </c>
      <c r="U81" s="264"/>
      <c r="V81" s="348">
        <f t="shared" si="29"/>
        <v>2500</v>
      </c>
      <c r="W81" s="348"/>
      <c r="X81" s="316">
        <v>1</v>
      </c>
      <c r="Y81" s="316">
        <v>0</v>
      </c>
      <c r="Z81" s="316">
        <v>0</v>
      </c>
      <c r="AA81" s="316">
        <v>1</v>
      </c>
      <c r="AB81" s="317">
        <v>0</v>
      </c>
      <c r="AC81" s="316">
        <v>1</v>
      </c>
      <c r="AD81" s="316">
        <v>1</v>
      </c>
      <c r="AE81" s="316">
        <v>1</v>
      </c>
      <c r="AF81" s="316">
        <v>1</v>
      </c>
      <c r="AG81" s="317">
        <v>0</v>
      </c>
      <c r="AH81" s="316">
        <v>0</v>
      </c>
      <c r="AI81" s="316">
        <v>1</v>
      </c>
      <c r="AJ81" s="316">
        <v>1</v>
      </c>
      <c r="AK81" s="316">
        <v>1</v>
      </c>
      <c r="AL81" s="316">
        <v>0</v>
      </c>
      <c r="AM81" s="316">
        <v>1</v>
      </c>
      <c r="AN81" s="316">
        <v>1</v>
      </c>
      <c r="AO81" s="317">
        <v>0</v>
      </c>
    </row>
    <row r="82" spans="1:41" s="270" customFormat="1" ht="15.75" customHeight="1" x14ac:dyDescent="0.25">
      <c r="A82" s="123">
        <v>76</v>
      </c>
      <c r="B82" s="363" t="s">
        <v>160</v>
      </c>
      <c r="C82" s="363" t="s">
        <v>187</v>
      </c>
      <c r="D82" s="363" t="s">
        <v>150</v>
      </c>
      <c r="E82" s="363" t="s">
        <v>195</v>
      </c>
      <c r="F82" s="363"/>
      <c r="G82" s="364">
        <f t="shared" si="26"/>
        <v>216.66666666666666</v>
      </c>
      <c r="H82" s="358">
        <f t="shared" si="15"/>
        <v>3250</v>
      </c>
      <c r="I82" s="364">
        <v>6500</v>
      </c>
      <c r="J82" s="365">
        <v>15</v>
      </c>
      <c r="K82" s="365"/>
      <c r="L82" s="365"/>
      <c r="M82" s="365"/>
      <c r="N82" s="366">
        <v>1000</v>
      </c>
      <c r="O82" s="366"/>
      <c r="P82" s="366"/>
      <c r="Q82" s="366"/>
      <c r="R82" s="367">
        <f t="shared" si="27"/>
        <v>2250</v>
      </c>
      <c r="S82" s="368"/>
      <c r="T82" s="368">
        <f t="shared" si="28"/>
        <v>2250</v>
      </c>
      <c r="U82" s="264"/>
      <c r="V82" s="348">
        <f t="shared" si="29"/>
        <v>3250</v>
      </c>
      <c r="W82" s="348"/>
      <c r="X82" s="316">
        <v>1</v>
      </c>
      <c r="Y82" s="316">
        <v>0</v>
      </c>
      <c r="Z82" s="316">
        <v>0</v>
      </c>
      <c r="AA82" s="316">
        <v>1</v>
      </c>
      <c r="AB82" s="317">
        <v>0</v>
      </c>
      <c r="AC82" s="316">
        <v>1</v>
      </c>
      <c r="AD82" s="316">
        <v>1</v>
      </c>
      <c r="AE82" s="316">
        <v>1</v>
      </c>
      <c r="AF82" s="316">
        <v>1</v>
      </c>
      <c r="AG82" s="317">
        <v>1</v>
      </c>
      <c r="AH82" s="316">
        <v>0</v>
      </c>
      <c r="AI82" s="316">
        <v>0</v>
      </c>
      <c r="AJ82" s="316">
        <v>0</v>
      </c>
      <c r="AK82" s="316">
        <v>1</v>
      </c>
      <c r="AL82" s="316">
        <v>1</v>
      </c>
      <c r="AM82" s="316">
        <v>1</v>
      </c>
      <c r="AN82" s="316">
        <v>1</v>
      </c>
      <c r="AO82" s="317">
        <v>0</v>
      </c>
    </row>
    <row r="83" spans="1:41" s="270" customFormat="1" ht="15.75" customHeight="1" x14ac:dyDescent="0.25">
      <c r="A83" s="123">
        <v>77</v>
      </c>
      <c r="B83" s="363" t="s">
        <v>160</v>
      </c>
      <c r="C83" s="363" t="s">
        <v>187</v>
      </c>
      <c r="D83" s="363" t="s">
        <v>41</v>
      </c>
      <c r="E83" s="363" t="s">
        <v>167</v>
      </c>
      <c r="F83" s="363"/>
      <c r="G83" s="364">
        <f t="shared" si="26"/>
        <v>166.66666666666666</v>
      </c>
      <c r="H83" s="358">
        <f t="shared" si="15"/>
        <v>2500</v>
      </c>
      <c r="I83" s="364">
        <v>5000</v>
      </c>
      <c r="J83" s="365">
        <v>15</v>
      </c>
      <c r="K83" s="365"/>
      <c r="L83" s="365"/>
      <c r="M83" s="365"/>
      <c r="N83" s="366"/>
      <c r="O83" s="366"/>
      <c r="P83" s="366"/>
      <c r="Q83" s="366"/>
      <c r="R83" s="367">
        <f t="shared" si="27"/>
        <v>2500</v>
      </c>
      <c r="S83" s="368"/>
      <c r="T83" s="368">
        <f t="shared" si="28"/>
        <v>2500</v>
      </c>
      <c r="U83" s="264"/>
      <c r="V83" s="348">
        <f t="shared" si="29"/>
        <v>2500</v>
      </c>
      <c r="W83" s="348"/>
      <c r="X83" s="316">
        <v>1</v>
      </c>
      <c r="Y83" s="316">
        <v>0</v>
      </c>
      <c r="Z83" s="316">
        <v>0</v>
      </c>
      <c r="AA83" s="316">
        <v>1</v>
      </c>
      <c r="AB83" s="317">
        <v>0</v>
      </c>
      <c r="AC83" s="316">
        <v>0</v>
      </c>
      <c r="AD83" s="316">
        <v>1</v>
      </c>
      <c r="AE83" s="316">
        <v>0</v>
      </c>
      <c r="AF83" s="316">
        <v>1</v>
      </c>
      <c r="AG83" s="317">
        <v>1</v>
      </c>
      <c r="AH83" s="316">
        <v>0</v>
      </c>
      <c r="AI83" s="316">
        <v>1</v>
      </c>
      <c r="AJ83" s="316">
        <v>0</v>
      </c>
      <c r="AK83" s="316">
        <v>1</v>
      </c>
      <c r="AL83" s="316">
        <v>0</v>
      </c>
      <c r="AM83" s="316">
        <v>0</v>
      </c>
      <c r="AN83" s="316">
        <v>0</v>
      </c>
      <c r="AO83" s="317">
        <v>0</v>
      </c>
    </row>
    <row r="84" spans="1:41" s="270" customFormat="1" ht="15.75" customHeight="1" x14ac:dyDescent="0.25">
      <c r="A84" s="123">
        <v>78</v>
      </c>
      <c r="B84" s="363" t="s">
        <v>160</v>
      </c>
      <c r="C84" s="363" t="s">
        <v>40</v>
      </c>
      <c r="D84" s="363" t="s">
        <v>186</v>
      </c>
      <c r="E84" s="363" t="s">
        <v>168</v>
      </c>
      <c r="F84" s="363"/>
      <c r="G84" s="364">
        <f t="shared" si="26"/>
        <v>200</v>
      </c>
      <c r="H84" s="358">
        <f t="shared" si="15"/>
        <v>3000</v>
      </c>
      <c r="I84" s="364">
        <v>6000</v>
      </c>
      <c r="J84" s="365">
        <v>15</v>
      </c>
      <c r="K84" s="365"/>
      <c r="L84" s="365"/>
      <c r="M84" s="365"/>
      <c r="N84" s="366"/>
      <c r="O84" s="366"/>
      <c r="P84" s="366"/>
      <c r="Q84" s="366"/>
      <c r="R84" s="367">
        <f t="shared" si="27"/>
        <v>3000</v>
      </c>
      <c r="S84" s="368"/>
      <c r="T84" s="368">
        <f t="shared" si="28"/>
        <v>3000</v>
      </c>
      <c r="U84" s="264"/>
      <c r="V84" s="348">
        <f t="shared" si="29"/>
        <v>3000</v>
      </c>
      <c r="W84" s="348"/>
      <c r="X84" s="316">
        <v>1</v>
      </c>
      <c r="Y84" s="316">
        <v>0</v>
      </c>
      <c r="Z84" s="316">
        <v>0</v>
      </c>
      <c r="AA84" s="316">
        <v>1</v>
      </c>
      <c r="AB84" s="317">
        <v>0</v>
      </c>
      <c r="AC84" s="316">
        <v>1</v>
      </c>
      <c r="AD84" s="316">
        <v>1</v>
      </c>
      <c r="AE84" s="316">
        <v>0</v>
      </c>
      <c r="AF84" s="316">
        <v>1</v>
      </c>
      <c r="AG84" s="317">
        <v>0</v>
      </c>
      <c r="AH84" s="316">
        <v>0</v>
      </c>
      <c r="AI84" s="316">
        <v>1</v>
      </c>
      <c r="AJ84" s="316">
        <v>1</v>
      </c>
      <c r="AK84" s="316">
        <v>1</v>
      </c>
      <c r="AL84" s="316">
        <v>0</v>
      </c>
      <c r="AM84" s="316">
        <v>0</v>
      </c>
      <c r="AN84" s="316">
        <v>0</v>
      </c>
      <c r="AO84" s="317">
        <v>0</v>
      </c>
    </row>
    <row r="85" spans="1:41" s="10" customFormat="1" ht="23.25" customHeight="1" x14ac:dyDescent="0.25">
      <c r="A85" s="50"/>
      <c r="B85" s="376"/>
      <c r="C85" s="376"/>
      <c r="D85" s="376"/>
      <c r="E85" s="377" t="s">
        <v>113</v>
      </c>
      <c r="F85" s="377"/>
      <c r="G85" s="377"/>
      <c r="H85" s="378"/>
      <c r="I85" s="378"/>
      <c r="J85" s="379"/>
      <c r="K85" s="379"/>
      <c r="L85" s="379"/>
      <c r="M85" s="379"/>
      <c r="N85" s="378">
        <f t="shared" ref="N85:T85" si="30">SUM(N7:N84)</f>
        <v>4630</v>
      </c>
      <c r="O85" s="378">
        <f t="shared" si="30"/>
        <v>866.67000000000007</v>
      </c>
      <c r="P85" s="378">
        <f t="shared" si="30"/>
        <v>1250</v>
      </c>
      <c r="Q85" s="378">
        <f t="shared" si="30"/>
        <v>0</v>
      </c>
      <c r="R85" s="378">
        <f t="shared" si="30"/>
        <v>272271.04666666663</v>
      </c>
      <c r="S85" s="378">
        <f t="shared" si="30"/>
        <v>12215.699999999999</v>
      </c>
      <c r="T85" s="378">
        <f t="shared" si="30"/>
        <v>284486.74666666664</v>
      </c>
      <c r="U85" s="260"/>
      <c r="V85" s="259">
        <f>SUM(V7:V84)</f>
        <v>282600</v>
      </c>
      <c r="W85" s="325"/>
    </row>
    <row r="86" spans="1:41" s="314" customFormat="1" ht="17.25" customHeight="1" x14ac:dyDescent="0.25">
      <c r="A86" s="50"/>
      <c r="B86" s="313"/>
      <c r="C86" s="313"/>
      <c r="D86" s="313"/>
      <c r="E86" s="301"/>
      <c r="F86" s="301"/>
      <c r="G86" s="302"/>
      <c r="H86" s="52"/>
      <c r="I86" s="52"/>
      <c r="J86" s="53"/>
      <c r="K86" s="53"/>
      <c r="L86" s="53"/>
      <c r="M86" s="53"/>
      <c r="N86" s="54"/>
      <c r="O86" s="54"/>
      <c r="P86" s="54"/>
      <c r="Q86" s="54"/>
      <c r="R86" s="105"/>
      <c r="S86" s="313"/>
      <c r="T86" s="313"/>
      <c r="U86" s="313"/>
      <c r="V86" s="296"/>
      <c r="W86" s="296"/>
    </row>
    <row r="87" spans="1:41" s="314" customFormat="1" ht="23.25" customHeight="1" x14ac:dyDescent="0.35">
      <c r="A87" s="50"/>
      <c r="B87" s="301"/>
      <c r="C87" s="301"/>
      <c r="D87" s="297" t="s">
        <v>146</v>
      </c>
      <c r="E87" s="298" t="s">
        <v>206</v>
      </c>
      <c r="F87" s="298"/>
      <c r="G87" s="298">
        <f>V85</f>
        <v>282600</v>
      </c>
      <c r="H87" s="303"/>
      <c r="I87" s="302"/>
      <c r="J87" s="304"/>
      <c r="K87" s="304"/>
      <c r="L87" s="304"/>
      <c r="M87" s="304"/>
      <c r="N87" s="305"/>
      <c r="O87" s="305"/>
      <c r="P87" s="305"/>
      <c r="Q87" s="305"/>
      <c r="R87" s="306"/>
      <c r="S87" s="307"/>
      <c r="T87" s="301"/>
      <c r="U87" s="313"/>
      <c r="V87" s="296"/>
      <c r="W87" s="296"/>
    </row>
    <row r="88" spans="1:41" s="314" customFormat="1" ht="23.25" customHeight="1" x14ac:dyDescent="0.25">
      <c r="A88" s="50"/>
      <c r="B88" s="301"/>
      <c r="C88" s="301"/>
      <c r="D88" s="297" t="s">
        <v>147</v>
      </c>
      <c r="E88" s="298" t="s">
        <v>144</v>
      </c>
      <c r="F88" s="298"/>
      <c r="G88" s="298">
        <f>SUM(N85:Q85)</f>
        <v>6746.67</v>
      </c>
      <c r="H88" s="303"/>
      <c r="I88" s="303"/>
      <c r="J88" s="304"/>
      <c r="K88" s="304"/>
      <c r="L88" s="304"/>
      <c r="M88" s="304"/>
      <c r="N88" s="305"/>
      <c r="O88" s="305"/>
      <c r="P88" s="305"/>
      <c r="Q88" s="305"/>
      <c r="R88" s="306"/>
      <c r="S88" s="301"/>
      <c r="T88" s="301"/>
      <c r="U88" s="313"/>
      <c r="V88" s="296"/>
      <c r="W88" s="296"/>
    </row>
    <row r="89" spans="1:41" s="314" customFormat="1" ht="18.75" customHeight="1" x14ac:dyDescent="0.25">
      <c r="A89" s="313"/>
      <c r="B89" s="313"/>
      <c r="C89" s="313"/>
      <c r="D89" s="301"/>
      <c r="E89" s="299" t="s">
        <v>207</v>
      </c>
      <c r="F89" s="299"/>
      <c r="G89" s="299">
        <f>G87-G88</f>
        <v>275853.33</v>
      </c>
      <c r="H89" s="303"/>
      <c r="I89" s="303"/>
      <c r="J89" s="304"/>
      <c r="K89" s="304"/>
      <c r="L89" s="304"/>
      <c r="M89" s="304"/>
      <c r="N89" s="305"/>
      <c r="O89" s="305"/>
      <c r="P89" s="305"/>
      <c r="Q89" s="305"/>
      <c r="R89" s="306"/>
      <c r="S89" s="301"/>
      <c r="T89" s="301"/>
      <c r="U89" s="313"/>
      <c r="V89" s="296" t="e">
        <f>E89*J89</f>
        <v>#VALUE!</v>
      </c>
      <c r="W89" s="296"/>
    </row>
    <row r="91" spans="1:41" s="314" customFormat="1" x14ac:dyDescent="0.25">
      <c r="A91" s="313"/>
      <c r="B91" s="313"/>
      <c r="C91" s="313"/>
      <c r="D91" s="313"/>
      <c r="E91" s="313"/>
      <c r="F91" s="336"/>
      <c r="G91" s="51"/>
      <c r="H91" s="52"/>
      <c r="I91" s="52"/>
      <c r="J91" s="53"/>
      <c r="K91" s="53"/>
      <c r="L91" s="53"/>
      <c r="M91" s="53"/>
      <c r="N91" s="54"/>
      <c r="O91" s="54"/>
      <c r="P91" s="54"/>
      <c r="Q91" s="54"/>
      <c r="R91" s="105"/>
      <c r="S91" s="313"/>
      <c r="T91" s="313"/>
      <c r="U91" s="313"/>
      <c r="V91" s="313"/>
      <c r="W91" s="313"/>
    </row>
    <row r="93" spans="1:41" s="314" customFormat="1" x14ac:dyDescent="0.25">
      <c r="A93" s="313"/>
      <c r="B93" s="313"/>
      <c r="C93" s="313"/>
      <c r="D93" s="313"/>
      <c r="E93" s="313"/>
      <c r="F93" s="336"/>
      <c r="G93" s="51"/>
      <c r="H93" s="52"/>
      <c r="I93" s="52"/>
      <c r="J93" s="53"/>
      <c r="K93" s="53"/>
      <c r="L93" s="53"/>
      <c r="M93" s="53"/>
      <c r="N93" s="54"/>
      <c r="O93" s="54"/>
      <c r="P93" s="54"/>
      <c r="Q93" s="54"/>
      <c r="R93" s="105"/>
      <c r="S93" s="313"/>
      <c r="T93" s="313"/>
      <c r="U93" s="313"/>
      <c r="V93" s="313"/>
      <c r="W93" s="313"/>
    </row>
  </sheetData>
  <autoFilter ref="A5:T89"/>
  <mergeCells count="4">
    <mergeCell ref="B1:S1"/>
    <mergeCell ref="B2:S2"/>
    <mergeCell ref="N4:Q4"/>
    <mergeCell ref="L5:M5"/>
  </mergeCells>
  <conditionalFormatting sqref="X59:AA59 AC59:AN59">
    <cfRule type="iconSet" priority="66">
      <iconSet iconSet="3Symbols2" showValue="0">
        <cfvo type="percent" val="0"/>
        <cfvo type="num" val="0"/>
        <cfvo type="num" val="1"/>
      </iconSet>
    </cfRule>
  </conditionalFormatting>
  <conditionalFormatting sqref="AB59">
    <cfRule type="iconSet" priority="67">
      <iconSet iconSet="3Symbols2" showValue="0">
        <cfvo type="percent" val="0"/>
        <cfvo type="percent" val="33"/>
        <cfvo type="percent" val="67"/>
      </iconSet>
    </cfRule>
  </conditionalFormatting>
  <conditionalFormatting sqref="AC13:AN13 X13:AA13">
    <cfRule type="iconSet" priority="62">
      <iconSet iconSet="3Symbols2" showValue="0">
        <cfvo type="percent" val="0"/>
        <cfvo type="num" val="0"/>
        <cfvo type="num" val="1"/>
      </iconSet>
    </cfRule>
  </conditionalFormatting>
  <conditionalFormatting sqref="AB13">
    <cfRule type="iconSet" priority="63">
      <iconSet iconSet="3Symbols2" showValue="0">
        <cfvo type="percent" val="0"/>
        <cfvo type="percent" val="33"/>
        <cfvo type="percent" val="67"/>
      </iconSet>
    </cfRule>
  </conditionalFormatting>
  <conditionalFormatting sqref="AC15:AN15 X15:AA15">
    <cfRule type="iconSet" priority="58">
      <iconSet iconSet="3Symbols2" showValue="0">
        <cfvo type="percent" val="0"/>
        <cfvo type="num" val="0"/>
        <cfvo type="num" val="1"/>
      </iconSet>
    </cfRule>
  </conditionalFormatting>
  <conditionalFormatting sqref="AB15">
    <cfRule type="iconSet" priority="59">
      <iconSet iconSet="3Symbols2" showValue="0">
        <cfvo type="percent" val="0"/>
        <cfvo type="percent" val="33"/>
        <cfvo type="percent" val="67"/>
      </iconSet>
    </cfRule>
  </conditionalFormatting>
  <conditionalFormatting sqref="AC20:AN20 X20:AA20">
    <cfRule type="iconSet" priority="54">
      <iconSet iconSet="3Symbols2" showValue="0">
        <cfvo type="percent" val="0"/>
        <cfvo type="num" val="0"/>
        <cfvo type="num" val="1"/>
      </iconSet>
    </cfRule>
  </conditionalFormatting>
  <conditionalFormatting sqref="AB20">
    <cfRule type="iconSet" priority="55">
      <iconSet iconSet="3Symbols2" showValue="0">
        <cfvo type="percent" val="0"/>
        <cfvo type="percent" val="33"/>
        <cfvo type="percent" val="67"/>
      </iconSet>
    </cfRule>
  </conditionalFormatting>
  <conditionalFormatting sqref="AC17:AN17 X17:AA17">
    <cfRule type="iconSet" priority="50">
      <iconSet iconSet="3Symbols2" showValue="0">
        <cfvo type="percent" val="0"/>
        <cfvo type="num" val="0"/>
        <cfvo type="num" val="1"/>
      </iconSet>
    </cfRule>
  </conditionalFormatting>
  <conditionalFormatting sqref="AB17">
    <cfRule type="iconSet" priority="51">
      <iconSet iconSet="3Symbols2" showValue="0">
        <cfvo type="percent" val="0"/>
        <cfvo type="percent" val="33"/>
        <cfvo type="percent" val="67"/>
      </iconSet>
    </cfRule>
  </conditionalFormatting>
  <conditionalFormatting sqref="AC83:AN83 X83:AA83">
    <cfRule type="iconSet" priority="46">
      <iconSet iconSet="3Symbols2" showValue="0">
        <cfvo type="percent" val="0"/>
        <cfvo type="num" val="0"/>
        <cfvo type="num" val="1"/>
      </iconSet>
    </cfRule>
  </conditionalFormatting>
  <conditionalFormatting sqref="AB83">
    <cfRule type="iconSet" priority="47">
      <iconSet iconSet="3Symbols2" showValue="0">
        <cfvo type="percent" val="0"/>
        <cfvo type="percent" val="33"/>
        <cfvo type="percent" val="67"/>
      </iconSet>
    </cfRule>
  </conditionalFormatting>
  <conditionalFormatting sqref="AC82:AN82 X82:AA82">
    <cfRule type="iconSet" priority="42">
      <iconSet iconSet="3Symbols2" showValue="0">
        <cfvo type="percent" val="0"/>
        <cfvo type="num" val="0"/>
        <cfvo type="num" val="1"/>
      </iconSet>
    </cfRule>
  </conditionalFormatting>
  <conditionalFormatting sqref="AB82">
    <cfRule type="iconSet" priority="43">
      <iconSet iconSet="3Symbols2" showValue="0">
        <cfvo type="percent" val="0"/>
        <cfvo type="percent" val="33"/>
        <cfvo type="percent" val="67"/>
      </iconSet>
    </cfRule>
  </conditionalFormatting>
  <conditionalFormatting sqref="AC79:AN79 X79:AA79">
    <cfRule type="iconSet" priority="38">
      <iconSet iconSet="3Symbols2" showValue="0">
        <cfvo type="percent" val="0"/>
        <cfvo type="num" val="0"/>
        <cfvo type="num" val="1"/>
      </iconSet>
    </cfRule>
  </conditionalFormatting>
  <conditionalFormatting sqref="AB79">
    <cfRule type="iconSet" priority="39">
      <iconSet iconSet="3Symbols2" showValue="0">
        <cfvo type="percent" val="0"/>
        <cfvo type="percent" val="33"/>
        <cfvo type="percent" val="67"/>
      </iconSet>
    </cfRule>
  </conditionalFormatting>
  <conditionalFormatting sqref="AC80:AN80 X80:AA80">
    <cfRule type="iconSet" priority="34">
      <iconSet iconSet="3Symbols2" showValue="0">
        <cfvo type="percent" val="0"/>
        <cfvo type="num" val="0"/>
        <cfvo type="num" val="1"/>
      </iconSet>
    </cfRule>
  </conditionalFormatting>
  <conditionalFormatting sqref="AB80">
    <cfRule type="iconSet" priority="35">
      <iconSet iconSet="3Symbols2" showValue="0">
        <cfvo type="percent" val="0"/>
        <cfvo type="percent" val="33"/>
        <cfvo type="percent" val="67"/>
      </iconSet>
    </cfRule>
  </conditionalFormatting>
  <conditionalFormatting sqref="AC81:AN81 X81:AA81">
    <cfRule type="iconSet" priority="30">
      <iconSet iconSet="3Symbols2" showValue="0">
        <cfvo type="percent" val="0"/>
        <cfvo type="num" val="0"/>
        <cfvo type="num" val="1"/>
      </iconSet>
    </cfRule>
  </conditionalFormatting>
  <conditionalFormatting sqref="AB81">
    <cfRule type="iconSet" priority="31">
      <iconSet iconSet="3Symbols2" showValue="0">
        <cfvo type="percent" val="0"/>
        <cfvo type="percent" val="33"/>
        <cfvo type="percent" val="67"/>
      </iconSet>
    </cfRule>
  </conditionalFormatting>
  <conditionalFormatting sqref="AC84:AN84 X84:AA84">
    <cfRule type="iconSet" priority="26">
      <iconSet iconSet="3Symbols2" showValue="0">
        <cfvo type="percent" val="0"/>
        <cfvo type="num" val="0"/>
        <cfvo type="num" val="1"/>
      </iconSet>
    </cfRule>
  </conditionalFormatting>
  <conditionalFormatting sqref="AB84">
    <cfRule type="iconSet" priority="27">
      <iconSet iconSet="3Symbols2" showValue="0">
        <cfvo type="percent" val="0"/>
        <cfvo type="percent" val="33"/>
        <cfvo type="percent" val="67"/>
      </iconSet>
    </cfRule>
  </conditionalFormatting>
  <conditionalFormatting sqref="AC77:AN77 X77:AA77">
    <cfRule type="iconSet" priority="22">
      <iconSet iconSet="3Symbols2" showValue="0">
        <cfvo type="percent" val="0"/>
        <cfvo type="num" val="0"/>
        <cfvo type="num" val="1"/>
      </iconSet>
    </cfRule>
  </conditionalFormatting>
  <conditionalFormatting sqref="AB77">
    <cfRule type="iconSet" priority="23">
      <iconSet iconSet="3Symbols2" showValue="0">
        <cfvo type="percent" val="0"/>
        <cfvo type="percent" val="33"/>
        <cfvo type="percent" val="67"/>
      </iconSet>
    </cfRule>
  </conditionalFormatting>
  <conditionalFormatting sqref="AC78:AN78 X78:AA78">
    <cfRule type="iconSet" priority="18">
      <iconSet iconSet="3Symbols2" showValue="0">
        <cfvo type="percent" val="0"/>
        <cfvo type="num" val="0"/>
        <cfvo type="num" val="1"/>
      </iconSet>
    </cfRule>
  </conditionalFormatting>
  <conditionalFormatting sqref="AB78">
    <cfRule type="iconSet" priority="19">
      <iconSet iconSet="3Symbols2" showValue="0">
        <cfvo type="percent" val="0"/>
        <cfvo type="percent" val="33"/>
        <cfvo type="percent" val="67"/>
      </iconSet>
    </cfRule>
  </conditionalFormatting>
  <conditionalFormatting sqref="AC76:AN76 X76:AA76">
    <cfRule type="iconSet" priority="14">
      <iconSet iconSet="3Symbols2" showValue="0">
        <cfvo type="percent" val="0"/>
        <cfvo type="num" val="0"/>
        <cfvo type="num" val="1"/>
      </iconSet>
    </cfRule>
  </conditionalFormatting>
  <conditionalFormatting sqref="AB76">
    <cfRule type="iconSet" priority="15">
      <iconSet iconSet="3Symbols2" showValue="0">
        <cfvo type="percent" val="0"/>
        <cfvo type="percent" val="33"/>
        <cfvo type="percent" val="67"/>
      </iconSet>
    </cfRule>
  </conditionalFormatting>
  <conditionalFormatting sqref="AC75:AN75 X75:AA75">
    <cfRule type="iconSet" priority="10">
      <iconSet iconSet="3Symbols2" showValue="0">
        <cfvo type="percent" val="0"/>
        <cfvo type="num" val="0"/>
        <cfvo type="num" val="1"/>
      </iconSet>
    </cfRule>
  </conditionalFormatting>
  <conditionalFormatting sqref="AB75">
    <cfRule type="iconSet" priority="11">
      <iconSet iconSet="3Symbols2" showValue="0">
        <cfvo type="percent" val="0"/>
        <cfvo type="percent" val="33"/>
        <cfvo type="percent" val="67"/>
      </iconSet>
    </cfRule>
  </conditionalFormatting>
  <conditionalFormatting sqref="AC73:AN73 X73:AA73">
    <cfRule type="iconSet" priority="6">
      <iconSet iconSet="3Symbols2" showValue="0">
        <cfvo type="percent" val="0"/>
        <cfvo type="num" val="0"/>
        <cfvo type="num" val="1"/>
      </iconSet>
    </cfRule>
  </conditionalFormatting>
  <conditionalFormatting sqref="AB73">
    <cfRule type="iconSet" priority="7">
      <iconSet iconSet="3Symbols2" showValue="0">
        <cfvo type="percent" val="0"/>
        <cfvo type="percent" val="33"/>
        <cfvo type="percent" val="67"/>
      </iconSet>
    </cfRule>
  </conditionalFormatting>
  <conditionalFormatting sqref="AC74:AN74 X74:AA74">
    <cfRule type="iconSet" priority="2">
      <iconSet iconSet="3Symbols2" showValue="0">
        <cfvo type="percent" val="0"/>
        <cfvo type="num" val="0"/>
        <cfvo type="num" val="1"/>
      </iconSet>
    </cfRule>
  </conditionalFormatting>
  <conditionalFormatting sqref="AB74">
    <cfRule type="iconSet" priority="3">
      <iconSet iconSet="3Symbols2" showValue="0">
        <cfvo type="percent" val="0"/>
        <cfvo type="percent" val="33"/>
        <cfvo type="percent" val="67"/>
      </iconSet>
    </cfRule>
  </conditionalFormatting>
  <pageMargins left="0" right="0" top="0.35433070866141736" bottom="0.39370078740157483" header="0.31496062992125984" footer="0.31496062992125984"/>
  <pageSetup paperSize="3" scale="42" fitToHeight="2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" id="{BD963ADF-ACAD-40C7-9208-BC3606C028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X59:AA59 AC59:AN59</xm:sqref>
        </x14:conditionalFormatting>
        <x14:conditionalFormatting xmlns:xm="http://schemas.microsoft.com/office/excel/2006/main">
          <x14:cfRule type="iconSet" priority="68" id="{ACF48B4B-9D37-42A9-8761-AB9251DCC78B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AO59</xm:sqref>
        </x14:conditionalFormatting>
        <x14:conditionalFormatting xmlns:xm="http://schemas.microsoft.com/office/excel/2006/main">
          <x14:cfRule type="iconSet" priority="61" id="{DBDA7E57-7B9F-45A0-AC1F-C43819B24F1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AC13:AN13 X13:AA13</xm:sqref>
        </x14:conditionalFormatting>
        <x14:conditionalFormatting xmlns:xm="http://schemas.microsoft.com/office/excel/2006/main">
          <x14:cfRule type="iconSet" priority="64" id="{B66846D2-50E7-4271-97A3-58434CEC2EE7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AO13</xm:sqref>
        </x14:conditionalFormatting>
        <x14:conditionalFormatting xmlns:xm="http://schemas.microsoft.com/office/excel/2006/main">
          <x14:cfRule type="iconSet" priority="57" id="{84D2051C-129B-4CC9-BEF6-BAC0798D51A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AC15:AN15 X15:AA15</xm:sqref>
        </x14:conditionalFormatting>
        <x14:conditionalFormatting xmlns:xm="http://schemas.microsoft.com/office/excel/2006/main">
          <x14:cfRule type="iconSet" priority="60" id="{2996BFF8-1F37-4335-91E4-F00D743DEF7E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AO15</xm:sqref>
        </x14:conditionalFormatting>
        <x14:conditionalFormatting xmlns:xm="http://schemas.microsoft.com/office/excel/2006/main">
          <x14:cfRule type="iconSet" priority="53" id="{CFD5F205-6823-4113-A6F0-657BD09EB1B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AC20:AN20 X20:AA20</xm:sqref>
        </x14:conditionalFormatting>
        <x14:conditionalFormatting xmlns:xm="http://schemas.microsoft.com/office/excel/2006/main">
          <x14:cfRule type="iconSet" priority="56" id="{356A288B-8A10-49ED-83CB-5A9FBCEDBA2B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AO20</xm:sqref>
        </x14:conditionalFormatting>
        <x14:conditionalFormatting xmlns:xm="http://schemas.microsoft.com/office/excel/2006/main">
          <x14:cfRule type="iconSet" priority="49" id="{AB674987-AAFF-40A5-B28A-86B241022F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AC17:AN17 X17:AA17</xm:sqref>
        </x14:conditionalFormatting>
        <x14:conditionalFormatting xmlns:xm="http://schemas.microsoft.com/office/excel/2006/main">
          <x14:cfRule type="iconSet" priority="52" id="{BF3692DD-7D4A-4EE1-B053-7C612D88F30A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AO17</xm:sqref>
        </x14:conditionalFormatting>
        <x14:conditionalFormatting xmlns:xm="http://schemas.microsoft.com/office/excel/2006/main">
          <x14:cfRule type="iconSet" priority="45" id="{41BDD084-C579-4F7E-B05D-187AFA3FF10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AC83:AN83 X83:AA83</xm:sqref>
        </x14:conditionalFormatting>
        <x14:conditionalFormatting xmlns:xm="http://schemas.microsoft.com/office/excel/2006/main">
          <x14:cfRule type="iconSet" priority="48" id="{EB0E0A74-02AA-4709-9DDA-5F37A3DF30BC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AO83</xm:sqref>
        </x14:conditionalFormatting>
        <x14:conditionalFormatting xmlns:xm="http://schemas.microsoft.com/office/excel/2006/main">
          <x14:cfRule type="iconSet" priority="41" id="{E051EF8B-D467-4259-9B8F-EF666E53ACB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AC82:AN82 X82:AA82</xm:sqref>
        </x14:conditionalFormatting>
        <x14:conditionalFormatting xmlns:xm="http://schemas.microsoft.com/office/excel/2006/main">
          <x14:cfRule type="iconSet" priority="44" id="{FD9EADD7-67C5-4133-AF12-F52828C0959A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AO82</xm:sqref>
        </x14:conditionalFormatting>
        <x14:conditionalFormatting xmlns:xm="http://schemas.microsoft.com/office/excel/2006/main">
          <x14:cfRule type="iconSet" priority="37" id="{360D939B-3D39-472F-89BB-3B3371BC659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AC79:AN79 X79:AA79</xm:sqref>
        </x14:conditionalFormatting>
        <x14:conditionalFormatting xmlns:xm="http://schemas.microsoft.com/office/excel/2006/main">
          <x14:cfRule type="iconSet" priority="40" id="{F6CA76EA-1D87-43BE-9A5A-D2519B5EFCA7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AO79</xm:sqref>
        </x14:conditionalFormatting>
        <x14:conditionalFormatting xmlns:xm="http://schemas.microsoft.com/office/excel/2006/main">
          <x14:cfRule type="iconSet" priority="33" id="{4FDF8E41-E395-4CF3-8F07-E912B324E6C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AC80:AN80 X80:AA80</xm:sqref>
        </x14:conditionalFormatting>
        <x14:conditionalFormatting xmlns:xm="http://schemas.microsoft.com/office/excel/2006/main">
          <x14:cfRule type="iconSet" priority="36" id="{12EA5708-2DB2-40C3-A39E-0B8B27A67AEA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AO80</xm:sqref>
        </x14:conditionalFormatting>
        <x14:conditionalFormatting xmlns:xm="http://schemas.microsoft.com/office/excel/2006/main">
          <x14:cfRule type="iconSet" priority="29" id="{A995CA94-30C9-41C6-B784-205C18C84D0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AC81:AN81 X81:AA81</xm:sqref>
        </x14:conditionalFormatting>
        <x14:conditionalFormatting xmlns:xm="http://schemas.microsoft.com/office/excel/2006/main">
          <x14:cfRule type="iconSet" priority="32" id="{AB19B60D-B39E-4C6A-83E4-B62BEF543133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AO81</xm:sqref>
        </x14:conditionalFormatting>
        <x14:conditionalFormatting xmlns:xm="http://schemas.microsoft.com/office/excel/2006/main">
          <x14:cfRule type="iconSet" priority="25" id="{07C4E2C2-1C18-470F-93A2-D6AAE1C855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AC84:AN84 X84:AA84</xm:sqref>
        </x14:conditionalFormatting>
        <x14:conditionalFormatting xmlns:xm="http://schemas.microsoft.com/office/excel/2006/main">
          <x14:cfRule type="iconSet" priority="28" id="{258315E7-9462-4196-9FC7-273EBE2ED70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AO84</xm:sqref>
        </x14:conditionalFormatting>
        <x14:conditionalFormatting xmlns:xm="http://schemas.microsoft.com/office/excel/2006/main">
          <x14:cfRule type="iconSet" priority="21" id="{8F613234-5FE3-4856-9F42-C196E930A27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AC77:AN77 X77:AA77</xm:sqref>
        </x14:conditionalFormatting>
        <x14:conditionalFormatting xmlns:xm="http://schemas.microsoft.com/office/excel/2006/main">
          <x14:cfRule type="iconSet" priority="24" id="{55EFA9C7-4134-4331-A109-0CCE7650BA58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AO77</xm:sqref>
        </x14:conditionalFormatting>
        <x14:conditionalFormatting xmlns:xm="http://schemas.microsoft.com/office/excel/2006/main">
          <x14:cfRule type="iconSet" priority="17" id="{D39F8211-0018-4377-96B9-495FAEC8E34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AC78:AN78 X78:AA78</xm:sqref>
        </x14:conditionalFormatting>
        <x14:conditionalFormatting xmlns:xm="http://schemas.microsoft.com/office/excel/2006/main">
          <x14:cfRule type="iconSet" priority="20" id="{74669E3D-DB63-449D-AAB3-0E4E3F8E937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AO78</xm:sqref>
        </x14:conditionalFormatting>
        <x14:conditionalFormatting xmlns:xm="http://schemas.microsoft.com/office/excel/2006/main">
          <x14:cfRule type="iconSet" priority="13" id="{4BD7776B-F0B1-4D2A-8A80-8293E95A571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AC76:AN76 X76:AA76</xm:sqref>
        </x14:conditionalFormatting>
        <x14:conditionalFormatting xmlns:xm="http://schemas.microsoft.com/office/excel/2006/main">
          <x14:cfRule type="iconSet" priority="16" id="{DBC2F161-9402-4920-9142-85F4630F0DE6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AO76</xm:sqref>
        </x14:conditionalFormatting>
        <x14:conditionalFormatting xmlns:xm="http://schemas.microsoft.com/office/excel/2006/main">
          <x14:cfRule type="iconSet" priority="9" id="{28829310-F2CC-4416-B006-BB4A69E49E8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AC75:AN75 X75:AA75</xm:sqref>
        </x14:conditionalFormatting>
        <x14:conditionalFormatting xmlns:xm="http://schemas.microsoft.com/office/excel/2006/main">
          <x14:cfRule type="iconSet" priority="12" id="{EF33C1BC-2C56-44DF-AE51-B51CC24CDDBC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AO75</xm:sqref>
        </x14:conditionalFormatting>
        <x14:conditionalFormatting xmlns:xm="http://schemas.microsoft.com/office/excel/2006/main">
          <x14:cfRule type="iconSet" priority="5" id="{EEDEC26C-3215-40FE-A85A-E5479C3531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AC73:AN73 X73:AA73</xm:sqref>
        </x14:conditionalFormatting>
        <x14:conditionalFormatting xmlns:xm="http://schemas.microsoft.com/office/excel/2006/main">
          <x14:cfRule type="iconSet" priority="8" id="{F58A695A-8808-4E7E-8176-C14AF25796C3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AO73</xm:sqref>
        </x14:conditionalFormatting>
        <x14:conditionalFormatting xmlns:xm="http://schemas.microsoft.com/office/excel/2006/main">
          <x14:cfRule type="iconSet" priority="1" id="{48B172FE-B848-4C88-AF3A-3088EA64A0D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AC74:AN74 X74:AA74</xm:sqref>
        </x14:conditionalFormatting>
        <x14:conditionalFormatting xmlns:xm="http://schemas.microsoft.com/office/excel/2006/main">
          <x14:cfRule type="iconSet" priority="4" id="{3BDE7585-5807-43D3-9A6D-B116FCDD934F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AO74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9"/>
  <sheetViews>
    <sheetView showGridLines="0" topLeftCell="A15" zoomScaleNormal="100" workbookViewId="0">
      <selection activeCell="H41" sqref="H41"/>
    </sheetView>
  </sheetViews>
  <sheetFormatPr baseColWidth="10" defaultRowHeight="15" x14ac:dyDescent="0.25"/>
  <cols>
    <col min="1" max="1" width="22.28515625" bestFit="1" customWidth="1"/>
    <col min="2" max="2" width="12.5703125" bestFit="1" customWidth="1"/>
  </cols>
  <sheetData>
    <row r="3" spans="1:2" x14ac:dyDescent="0.25">
      <c r="A3" s="300" t="s">
        <v>251</v>
      </c>
      <c r="B3" t="s">
        <v>113</v>
      </c>
    </row>
    <row r="4" spans="1:2" x14ac:dyDescent="0.25">
      <c r="A4" s="283" t="s">
        <v>107</v>
      </c>
      <c r="B4" s="284">
        <v>15000</v>
      </c>
    </row>
    <row r="5" spans="1:2" x14ac:dyDescent="0.25">
      <c r="A5" s="283" t="s">
        <v>82</v>
      </c>
      <c r="B5" s="284">
        <v>5500</v>
      </c>
    </row>
    <row r="6" spans="1:2" x14ac:dyDescent="0.25">
      <c r="A6" s="283" t="s">
        <v>19</v>
      </c>
      <c r="B6" s="284">
        <v>102333.33333333333</v>
      </c>
    </row>
    <row r="7" spans="1:2" x14ac:dyDescent="0.25">
      <c r="A7" s="283" t="s">
        <v>100</v>
      </c>
      <c r="B7" s="284">
        <v>19900</v>
      </c>
    </row>
    <row r="8" spans="1:2" x14ac:dyDescent="0.25">
      <c r="A8" s="283" t="s">
        <v>64</v>
      </c>
      <c r="B8" s="284">
        <v>11200</v>
      </c>
    </row>
    <row r="9" spans="1:2" x14ac:dyDescent="0.25">
      <c r="A9" s="283" t="s">
        <v>97</v>
      </c>
      <c r="B9" s="284">
        <v>6433.33</v>
      </c>
    </row>
    <row r="10" spans="1:2" x14ac:dyDescent="0.25">
      <c r="A10" s="283" t="s">
        <v>188</v>
      </c>
      <c r="B10" s="284">
        <v>7600</v>
      </c>
    </row>
    <row r="11" spans="1:2" x14ac:dyDescent="0.25">
      <c r="A11" s="283" t="s">
        <v>72</v>
      </c>
      <c r="B11" s="284">
        <v>22200</v>
      </c>
    </row>
    <row r="12" spans="1:2" x14ac:dyDescent="0.25">
      <c r="A12" s="283" t="s">
        <v>59</v>
      </c>
      <c r="B12" s="284">
        <v>14832</v>
      </c>
    </row>
    <row r="13" spans="1:2" x14ac:dyDescent="0.25">
      <c r="A13" s="283" t="s">
        <v>54</v>
      </c>
      <c r="B13" s="284">
        <v>9700</v>
      </c>
    </row>
    <row r="14" spans="1:2" x14ac:dyDescent="0.25">
      <c r="A14" s="283" t="s">
        <v>88</v>
      </c>
      <c r="B14" s="284">
        <v>12466.666666666668</v>
      </c>
    </row>
    <row r="15" spans="1:2" x14ac:dyDescent="0.25">
      <c r="A15" s="283" t="s">
        <v>149</v>
      </c>
      <c r="B15" s="284">
        <v>18400</v>
      </c>
    </row>
    <row r="16" spans="1:2" x14ac:dyDescent="0.25">
      <c r="A16" s="283" t="s">
        <v>45</v>
      </c>
      <c r="B16" s="284">
        <v>10266.666666666668</v>
      </c>
    </row>
    <row r="17" spans="1:4" x14ac:dyDescent="0.25">
      <c r="A17" s="283" t="s">
        <v>160</v>
      </c>
      <c r="B17" s="284">
        <v>19250</v>
      </c>
    </row>
    <row r="18" spans="1:4" x14ac:dyDescent="0.25">
      <c r="A18" s="283" t="s">
        <v>190</v>
      </c>
      <c r="B18" s="284">
        <v>275081.99666666659</v>
      </c>
    </row>
    <row r="23" spans="1:4" ht="15.75" x14ac:dyDescent="0.25">
      <c r="A23" s="330" t="s">
        <v>257</v>
      </c>
      <c r="B23" s="330" t="s">
        <v>113</v>
      </c>
      <c r="C23" s="330" t="s">
        <v>258</v>
      </c>
    </row>
    <row r="24" spans="1:4" x14ac:dyDescent="0.25">
      <c r="A24" s="329" t="s">
        <v>252</v>
      </c>
      <c r="B24" s="331">
        <f>'1A. ENERO'!Q60+'2A. FEBRERO'!Q80+'2A. FEBRERO'!Q81</f>
        <v>249589.33333333331</v>
      </c>
      <c r="C24" s="318">
        <v>1</v>
      </c>
    </row>
    <row r="25" spans="1:4" x14ac:dyDescent="0.25">
      <c r="A25" s="329" t="s">
        <v>253</v>
      </c>
      <c r="B25" s="331">
        <f>'2A. ENERO '!Q59+'2A. FEBRERO'!Q80+'2A. FEBRERO'!Q81</f>
        <v>241946</v>
      </c>
      <c r="C25" s="333">
        <f>B25/B24-1</f>
        <v>-3.0623637762297484E-2</v>
      </c>
    </row>
    <row r="26" spans="1:4" x14ac:dyDescent="0.25">
      <c r="A26" s="329" t="s">
        <v>254</v>
      </c>
      <c r="B26" s="331">
        <f>'1A. FEBRERO'!Q80</f>
        <v>265047.43333333329</v>
      </c>
      <c r="C26" s="333">
        <f>B26/B25-1</f>
        <v>9.5481774169993594E-2</v>
      </c>
    </row>
    <row r="27" spans="1:4" x14ac:dyDescent="0.25">
      <c r="A27" s="329" t="s">
        <v>255</v>
      </c>
      <c r="B27" s="331">
        <f>'2A. FEBRERO'!Q77</f>
        <v>262543.5</v>
      </c>
      <c r="C27" s="333">
        <f>B27/B26-1</f>
        <v>-9.4471140574459156E-3</v>
      </c>
      <c r="D27" s="334" t="s">
        <v>259</v>
      </c>
    </row>
    <row r="28" spans="1:4" x14ac:dyDescent="0.25">
      <c r="A28" s="329" t="s">
        <v>256</v>
      </c>
      <c r="B28" s="298">
        <f>GETPIVOTDATA("TOTAL",$A$3)</f>
        <v>275081.99666666659</v>
      </c>
      <c r="C28" s="333">
        <f>B28/B27-1</f>
        <v>4.7757787439668409E-2</v>
      </c>
      <c r="D28" s="318">
        <f>B28/B24-1</f>
        <v>0.10213843273216772</v>
      </c>
    </row>
    <row r="29" spans="1:4" x14ac:dyDescent="0.25">
      <c r="A29" s="329"/>
      <c r="B29" s="329"/>
      <c r="C29" s="333"/>
    </row>
  </sheetData>
  <pageMargins left="0.70866141732283472" right="0.70866141732283472" top="0.74803149606299213" bottom="0.74803149606299213" header="0.31496062992125984" footer="0.31496062992125984"/>
  <pageSetup scale="66" orientation="landscape" verticalDpi="0" r:id="rId2"/>
  <colBreaks count="1" manualBreakCount="1">
    <brk id="15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</vt:i4>
      </vt:variant>
    </vt:vector>
  </HeadingPairs>
  <TitlesOfParts>
    <vt:vector size="16" baseType="lpstr">
      <vt:lpstr>1A. ENERO</vt:lpstr>
      <vt:lpstr>2A. ENERO </vt:lpstr>
      <vt:lpstr>1A. FEBRERO</vt:lpstr>
      <vt:lpstr>2A.FEB-RES</vt:lpstr>
      <vt:lpstr>2A. FEB-DEDUCCIONES</vt:lpstr>
      <vt:lpstr>2A. FEBRERO</vt:lpstr>
      <vt:lpstr>MARZO HSXTRAS</vt:lpstr>
      <vt:lpstr>MARZO</vt:lpstr>
      <vt:lpstr>1RA MARZO</vt:lpstr>
      <vt:lpstr>1RA MARZ DEDUC</vt:lpstr>
      <vt:lpstr>'1RA MARZO'!Área_de_impresión</vt:lpstr>
      <vt:lpstr>'2A. FEB-DEDUCCIONES'!Área_de_impresión</vt:lpstr>
      <vt:lpstr>'2A. FEBRERO'!Área_de_impresión</vt:lpstr>
      <vt:lpstr>'2A.FEB-RES'!Área_de_impresión</vt:lpstr>
      <vt:lpstr>MARZO!Área_de_impresión</vt:lpstr>
      <vt:lpstr>'MARZO HSXTRAS'!Área_de_impresión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Lenovo</cp:lastModifiedBy>
  <cp:lastPrinted>2019-03-16T15:22:06Z</cp:lastPrinted>
  <dcterms:created xsi:type="dcterms:W3CDTF">2019-01-09T02:49:31Z</dcterms:created>
  <dcterms:modified xsi:type="dcterms:W3CDTF">2019-03-22T16:34:16Z</dcterms:modified>
</cp:coreProperties>
</file>